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d1pla05\Desktop\"/>
    </mc:Choice>
  </mc:AlternateContent>
  <bookViews>
    <workbookView xWindow="0" yWindow="0" windowWidth="24000" windowHeight="8835"/>
  </bookViews>
  <sheets>
    <sheet name="Adquisiciones  " sheetId="2" r:id="rId1"/>
  </sheets>
  <calcPr calcId="152511"/>
</workbook>
</file>

<file path=xl/calcChain.xml><?xml version="1.0" encoding="utf-8"?>
<calcChain xmlns="http://schemas.openxmlformats.org/spreadsheetml/2006/main">
  <c r="J148" i="2" l="1"/>
  <c r="K148" i="2" s="1"/>
  <c r="J147" i="2"/>
  <c r="K147" i="2" s="1"/>
  <c r="J146" i="2"/>
  <c r="K146" i="2" s="1"/>
  <c r="J145" i="2"/>
  <c r="K145" i="2" s="1"/>
  <c r="K142" i="2"/>
  <c r="K141" i="2"/>
  <c r="K140" i="2"/>
  <c r="K139" i="2"/>
  <c r="K138" i="2"/>
  <c r="K136" i="2"/>
  <c r="J131" i="2"/>
  <c r="K131" i="2" s="1"/>
  <c r="K130" i="2"/>
  <c r="J130" i="2"/>
  <c r="J127" i="2"/>
  <c r="K127" i="2" s="1"/>
  <c r="J126" i="2"/>
  <c r="K126" i="2" s="1"/>
  <c r="K125" i="2"/>
  <c r="K124" i="2"/>
  <c r="J124" i="2"/>
  <c r="K123" i="2"/>
  <c r="J123" i="2"/>
  <c r="J122" i="2"/>
  <c r="K122" i="2" s="1"/>
  <c r="K121" i="2"/>
  <c r="J120" i="2"/>
  <c r="K120" i="2" s="1"/>
  <c r="J119" i="2"/>
  <c r="K119" i="2" s="1"/>
  <c r="J116" i="2"/>
  <c r="K116" i="2" s="1"/>
  <c r="K115" i="2"/>
  <c r="K114" i="2"/>
  <c r="J114" i="2"/>
  <c r="K113" i="2"/>
  <c r="K112" i="2"/>
  <c r="J112" i="2"/>
  <c r="K111" i="2"/>
  <c r="K109" i="2"/>
  <c r="J109" i="2"/>
  <c r="K102" i="2"/>
  <c r="J102" i="2"/>
  <c r="K101" i="2"/>
  <c r="K100" i="2"/>
  <c r="K93" i="2"/>
  <c r="J92" i="2"/>
  <c r="K92" i="2" s="1"/>
  <c r="K91" i="2"/>
  <c r="K90" i="2"/>
  <c r="J90" i="2"/>
  <c r="K89" i="2"/>
  <c r="J89" i="2"/>
  <c r="K88" i="2"/>
  <c r="J88" i="2"/>
  <c r="K87" i="2"/>
  <c r="J87" i="2"/>
  <c r="K85" i="2"/>
  <c r="K84" i="2"/>
  <c r="K82" i="2"/>
  <c r="K80" i="2"/>
  <c r="K79" i="2"/>
  <c r="K77" i="2"/>
  <c r="K76" i="2"/>
  <c r="J76" i="2"/>
  <c r="K75" i="2"/>
  <c r="K74" i="2"/>
  <c r="K71" i="2"/>
  <c r="J71" i="2"/>
  <c r="K68" i="2"/>
  <c r="K66" i="2"/>
  <c r="K65" i="2"/>
  <c r="K64" i="2"/>
  <c r="K63" i="2"/>
  <c r="J62" i="2"/>
  <c r="K62" i="2" s="1"/>
  <c r="J61" i="2"/>
  <c r="K61" i="2" s="1"/>
  <c r="K59" i="2"/>
  <c r="K58" i="2"/>
  <c r="J58" i="2"/>
  <c r="K55" i="2"/>
  <c r="K54" i="2"/>
  <c r="K53" i="2"/>
  <c r="K52" i="2"/>
  <c r="K51" i="2"/>
  <c r="K50" i="2"/>
  <c r="K49" i="2"/>
  <c r="J49" i="2"/>
  <c r="K48" i="2"/>
  <c r="J47" i="2"/>
  <c r="K47" i="2" s="1"/>
  <c r="K46" i="2"/>
  <c r="J46" i="2"/>
  <c r="K45" i="2"/>
  <c r="K44" i="2"/>
  <c r="J43" i="2"/>
  <c r="K43" i="2" s="1"/>
  <c r="J42" i="2"/>
  <c r="K42" i="2" s="1"/>
  <c r="K41" i="2"/>
  <c r="K40" i="2"/>
  <c r="K39" i="2"/>
  <c r="K38" i="2"/>
  <c r="J37" i="2"/>
  <c r="K37" i="2" s="1"/>
  <c r="J36" i="2"/>
  <c r="K36" i="2" s="1"/>
  <c r="K35" i="2"/>
  <c r="J35" i="2"/>
  <c r="J34" i="2"/>
  <c r="K34" i="2" s="1"/>
  <c r="K33" i="2"/>
  <c r="K32" i="2"/>
  <c r="J32" i="2"/>
  <c r="K31" i="2"/>
  <c r="K30" i="2"/>
  <c r="J30" i="2"/>
  <c r="J28" i="2"/>
  <c r="K28" i="2" s="1"/>
  <c r="J26" i="2"/>
  <c r="K26" i="2" s="1"/>
  <c r="K25" i="2"/>
  <c r="K24" i="2"/>
  <c r="K23" i="2"/>
  <c r="K22" i="2"/>
  <c r="J21" i="2"/>
  <c r="K21" i="2" s="1"/>
  <c r="K20" i="2"/>
  <c r="K19" i="2"/>
  <c r="J18" i="2"/>
  <c r="K18" i="2" s="1"/>
  <c r="K17" i="2"/>
  <c r="K16" i="2"/>
  <c r="K15" i="2"/>
  <c r="K14" i="2"/>
  <c r="J14" i="2"/>
  <c r="K13" i="2"/>
  <c r="J12" i="2"/>
  <c r="K12" i="2" s="1"/>
  <c r="J11" i="2"/>
  <c r="K11" i="2" s="1"/>
  <c r="J10" i="2"/>
  <c r="K10" i="2" s="1"/>
  <c r="J8" i="2"/>
  <c r="K8" i="2" s="1"/>
  <c r="J7" i="2"/>
  <c r="K7" i="2" s="1"/>
</calcChain>
</file>

<file path=xl/sharedStrings.xml><?xml version="1.0" encoding="utf-8"?>
<sst xmlns="http://schemas.openxmlformats.org/spreadsheetml/2006/main" count="1367" uniqueCount="333">
  <si>
    <t>Ubicación</t>
  </si>
  <si>
    <t xml:space="preserve">Modalidad de selección </t>
  </si>
  <si>
    <t>Duración estimada del contrato (intervalo: días, meses, años)</t>
  </si>
  <si>
    <t>CO-DC-11001</t>
  </si>
  <si>
    <t>Fuente de los recursos</t>
  </si>
  <si>
    <t>Estado de solicitud de vigencias futuras</t>
  </si>
  <si>
    <t>CCE-15||03</t>
  </si>
  <si>
    <t>¿Se requieren vigencias futuras?</t>
  </si>
  <si>
    <t>0</t>
  </si>
  <si>
    <t>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</si>
  <si>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</si>
  <si>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</si>
  <si>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</si>
  <si>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</si>
  <si>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</si>
  <si>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</si>
  <si>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</si>
  <si>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</si>
  <si>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</si>
  <si>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</si>
  <si>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</si>
  <si>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</si>
  <si>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42201800;</t>
  </si>
  <si>
    <t>OPERACIÓN ESPECIALIZADA DE RADIOLOGÍA E IMAGENOLOGIA EN LAS DIFERENTES UNIDADES DE SERVICIOS DE SALUD</t>
  </si>
  <si>
    <t>2</t>
  </si>
  <si>
    <t>4</t>
  </si>
  <si>
    <t>DEPENDENCIA DE CONTRATACION</t>
  </si>
  <si>
    <t>DRA. BETSY SANCHEZ - DIRECTORA SERVICIOS COMPLEMENTARIOS</t>
  </si>
  <si>
    <t>dir.complementarios@subredsur.gov.co</t>
  </si>
  <si>
    <t>COMPRA DE INSUMOS PARA REALIZACIÓN DE TERAPIA VAC PARA MANEJO DE HERIDAS</t>
  </si>
  <si>
    <t>DRA. MARTHA NIETO - DIRECCIÓN ADMINISTRATIVA</t>
  </si>
  <si>
    <t>medicoquirurgicos@subredsur.gov.co</t>
  </si>
  <si>
    <t>72101511;</t>
  </si>
  <si>
    <t>MANTENIMIENTO PREVENTIVO INMERSO CORRECTIVO, INCLUIDO LOS REPUESTOS PARA EL SISTEMA DE AIRE ACONDICIONADO, REFRIGERACIÓN, VENTILACION MECANICA Y CUARTOS FRIOS PROPIEDAD DE LAS USS, QUE CONFORMAN LA SUBRED INEGRADA DE SERVICIOS DE SALUD SUR E.S.E.</t>
  </si>
  <si>
    <t>3</t>
  </si>
  <si>
    <t>recursosfisicosmeissen@subredsur.gov.co</t>
  </si>
  <si>
    <t>SUMINISTRO DE PAPEL TAMAÑO CARTA, OFICIO, MEDIA CARTA Y PAPEL TERMICO PARA CUBRIR LAS NECESIDADES DE LOS SERVICIOS ASISTENCIALES Y ADMINISTRATIVOS QUE COMPONEN LA SUBRED INTEGRADA DE SERVICIOS DE SALUD SUR E.S.E</t>
  </si>
  <si>
    <t>gestionsuministros@subredsur.gov.co</t>
  </si>
  <si>
    <t xml:space="preserve">SUMINISTRO DE INSUMOS PARA OFICINA Y ESCRITORIO PARA CUBRIR LAS NECESIDADES DE LOS SERVICIOS ASISTENCIALES Y ADMINISTRATIVOS QUE COMPONEN LA SUBRED INTEGRADA DE SERVICIOS DE SALUD SUR E.S.E </t>
  </si>
  <si>
    <t>78102203;</t>
  </si>
  <si>
    <t xml:space="preserve">SERVICIO DE MENSAJERIA ESPECIALIZADA PARA LA EJECUCION DE LOS PROCESOS DEL AREA DE GESTION DOCUMENTAL DE LA SUBRED SUR , POR MEDIO DE ENVIO DE DOCUMENTOS EN EL SERVICIO DE CARTA COPIA. </t>
  </si>
  <si>
    <t>ING. JHON CEPEDA ZAFRA - JEFE OFICINA SISTEMAS DE INFORMACIÓN TICS</t>
  </si>
  <si>
    <t>3002360306</t>
  </si>
  <si>
    <t>jefe.sistemastics@subredsur.gov.co</t>
  </si>
  <si>
    <t>42172017;</t>
  </si>
  <si>
    <t>SUMINISTRO E INSTALACION DE BATERIAS PARA LOS EQUIPOS MEDICOS QUE SE ENCUENTRAN EN LA SUBRED INTEGRADA DE SERVICIOS DE SALUD SUR ESE</t>
  </si>
  <si>
    <t>3002920982</t>
  </si>
  <si>
    <t>biomedica@subredsur.gov.co</t>
  </si>
  <si>
    <t>71121905;</t>
  </si>
  <si>
    <t>MUESTREO Y CARACTERIZACIÓN DE VERTIMIENTOS GENERADOS EN LA SUBRED INTEGRADA DE SERVICIOS DE SALUD SUR E.S.E.</t>
  </si>
  <si>
    <t>3013096853</t>
  </si>
  <si>
    <t>gestionambiental@subredsur.gov.co</t>
  </si>
  <si>
    <t>85161501;</t>
  </si>
  <si>
    <t>MANTENIMIENTO  PREVENTIVO, CORRECTIVO, VERIFICACIÓN  Y SUMINISTRO DE REPUESTOS Y/O ACCESORIOS,  PARA EL BUEN FUNCIONAMIENTO  DE LAS AUTOCLAVES DE LA SUBRED SUR:</t>
  </si>
  <si>
    <t>85161505;</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</si>
  <si>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</si>
  <si>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</si>
  <si>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</si>
  <si>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</si>
  <si>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73152103;</t>
  </si>
  <si>
    <t>MANTENIMIENTO PREVENTIVO, CORRECTIVO Y SUMINISTRO DE LOS REPUESTOS Y/O ACCESORIOS NECESARIOS PARA EL BUEN FUNCIONAMIENTO  DE LOS EQUIPOS MÉDICOS  DE LA SUBRED INTEGRADA DE SERVICIOS DE SALUD SUR E.S.E.</t>
  </si>
  <si>
    <t>MANTENIMIENTO PREVENTIVO Y CORRECTIVO INCLUIDOS LOS REPUESTOS PARA EL DIGITALIZADOR DE IMÁGENES KONICA MINOLTA H110HQ DE LA USS VISTA HERMOSA  DEL SERVICIO DE RADIOLOGIA Y SUMINISTRO DE  CHASIS PARA LOS DIGITALIZADORES MARCA KONICA MINOLTA DEL AREA DE RADIOLOGIA DE LA USS VISTA HERMOSA DE MLA SUBRED INTEGRADA DE SERVICIOS DE SALUD SUR E.S.E.</t>
  </si>
  <si>
    <t>5</t>
  </si>
  <si>
    <t>42201806;</t>
  </si>
  <si>
    <t>ARRENDAMIENTO DE UN EQUIPO DE RX CON FLUROSCOPIA (ARCO EN C INCLUIDO MANTENIMIENTO PREVENTIVO , CORRECTIVO, ACCESORIOS PARA SU CORRECTO FUNCIONAMIENTO,SE DEBE INCLURI UNA UPS PARA EL SERVICIO DE CIRUGIA DE LA USS TUNAL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</si>
  <si>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</si>
  <si>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</si>
  <si>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40101604;</t>
  </si>
  <si>
    <t>MANTENIMIENTO  PREVENTIVO, CORRECTIVO DE VENTILADORES MARCA SLE</t>
  </si>
  <si>
    <t>6</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</si>
  <si>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</si>
  <si>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</si>
  <si>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</si>
  <si>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3182653800</t>
  </si>
  <si>
    <t>recursosfisicostunal@subredsur.gov.co</t>
  </si>
  <si>
    <t>20102301;</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</si>
  <si>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</si>
  <si>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DRA.YOLANDA GUTIERREZ - DIRECTORA GESTIÓN DEL RIESGO EN SALUD</t>
  </si>
  <si>
    <t>3002122771</t>
  </si>
  <si>
    <t>dir.riesgoensalud@subredsur.gov.co</t>
  </si>
  <si>
    <t>80131500;</t>
  </si>
  <si>
    <t xml:space="preserve">ARRENDAMIENTO BODEGA INDUSTRIALIZADA UBICADA EN LA CALLE 12 N° 79-25 ENTRADA 2 BODEGA 7 CENTRO EMPRESARIAL VILLA ALSACIA, PARA EL ARCHIVO DE GESTION DOCUMENTAL DE LA SUBRED INTEGRADA DE SERVICIOS DE SALUD SUR E.S.E </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</si>
  <si>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</si>
  <si>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</si>
  <si>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SUMINISTRO Y FABRICACIÓN DE DISPOSITIVOS DE ASISTENCIA PERSONAL / AYUDAS TÉCNICAS PARA PERSONAL DISCAPACITDO</t>
  </si>
  <si>
    <t>CLAUDIA SEGURA - REFERENTE UEL</t>
  </si>
  <si>
    <t>proyectosfdl@subredsur.gov.co</t>
  </si>
  <si>
    <t>SERVICIOS DE OPERADOR DE HIPOTERAPIA PARA PERSONAS CON DISCAPACIDAD PARTICIPANTES DE LOS CONVENIOS SUSCRITOS CON LOS FONDOS DE DESARROLLO LOCAL</t>
  </si>
  <si>
    <t>44121600;</t>
  </si>
  <si>
    <t>7300000 EXT 71123</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</si>
  <si>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</si>
  <si>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</si>
  <si>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</si>
  <si>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</si>
  <si>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</si>
  <si>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</si>
  <si>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</si>
  <si>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</si>
  <si>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</si>
  <si>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</si>
  <si>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</si>
  <si>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</si>
  <si>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</si>
  <si>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</si>
  <si>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</si>
  <si>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</si>
  <si>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</si>
  <si>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</si>
  <si>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</si>
  <si>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</si>
  <si>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ARRENDAMIENTO DEL INMUEBLE UBICADO EN LA CARRERA 18 A BIS N° 60 G 20 SUR, CON EL FIN DE PRESTAR EL SERVICIO DE LABORATORIO CLINICO, CONSULTORIOS ASISTENCIALES (ATENCION A PACIENTES), ESTADISTICA, FACTURACION, RECURSOS FISICOS Y ACTIVOS FIJOS</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</si>
  <si>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</si>
  <si>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</si>
  <si>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</si>
  <si>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</si>
  <si>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</si>
  <si>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</si>
  <si>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</si>
  <si>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</si>
  <si>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</si>
  <si>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</si>
  <si>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</si>
  <si>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</si>
  <si>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</si>
  <si>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</si>
  <si>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</si>
  <si>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</si>
  <si>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</si>
  <si>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</si>
  <si>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</si>
  <si>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</si>
  <si>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</si>
  <si>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</si>
  <si>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</si>
  <si>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</si>
  <si>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</si>
  <si>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</si>
  <si>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</si>
  <si>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14111500;</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</si>
  <si>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</si>
  <si>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</si>
  <si>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</si>
  <si>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</si>
  <si>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</si>
  <si>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</si>
  <si>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</si>
  <si>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</si>
  <si>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</si>
  <si>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</si>
  <si>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</si>
  <si>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SERVICIO DE TRANSPORTE TERRESTRE ESPECIAL PLACA BLANCA COMO APOYO A LOS SERVICIOS ADMINISTRATIVOS Y OPERATIVOS EN LA SUBRED INTEGRADA DE SERVICIOS DE SALUD SUR E.S.E., EN LA CIUDAD DE BOGOTA  D.C., LOCALIDADES DE CIUDAD BOLIVAR, TUNJUELITO, USME, SUMAPAZ Y ZONAL ALEDAÑAS.</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</si>
  <si>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</si>
  <si>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</si>
  <si>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</si>
  <si>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</si>
  <si>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</si>
  <si>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</si>
  <si>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</si>
  <si>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</si>
  <si>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</si>
  <si>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</si>
  <si>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</si>
  <si>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</si>
  <si>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</si>
  <si>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</si>
  <si>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41104200;</t>
  </si>
  <si>
    <t>SERVICIO DE MUESTREO Y ANÁLISIS DE LA CALIDAD DEL AGUA PERMEADA DE LA UNIDAD DE DIÁLISIS DE LA SUBRED INTEGRADA DE SERVICIOS DE SALUD SUR.</t>
  </si>
  <si>
    <t>72102100;</t>
  </si>
  <si>
    <t>SERVICIO DE CONTROL DE PLAGAS PARA LA  TOTALIDAD DE LAS ÁREAS DE LA SUBRED INTEGRADA DE SERVICIOS DE SALUD SUR E.S.E.</t>
  </si>
  <si>
    <t>8</t>
  </si>
  <si>
    <t>9</t>
  </si>
  <si>
    <t>76121500;</t>
  </si>
  <si>
    <t>SERVICIO DE RECOLECCIÓN, TRANSPORTE, TRATAMIENTO Y DISPOSICIÓN FINAL DE  RESIDUOS QUÍMICOS.</t>
  </si>
  <si>
    <t>47121709;</t>
  </si>
  <si>
    <t xml:space="preserve">SUMINISTRO DE CANECAS, PEDALES, CONTENEDORES Y/O RECIPIENTES PARA EL ALMACENAMIENTO DE RESIDUOS HOSPITALARIOS </t>
  </si>
  <si>
    <t>81102600;</t>
  </si>
  <si>
    <t>SERVICIO DE MUESTREO Y ANÁLISIS DE PARAMETROS FÍSICOS, QUÍMICOS Y MICROBIOLÓGICOS DEL AGUA POTABLE DE LA RED INTERNA DE DISTRIBUCIÓN DE AGUA POTABLE DE LA SUBRED INTEGRADA DE SERVICIOS DE SALUD SUR E.S.E.</t>
  </si>
  <si>
    <t>78121602;</t>
  </si>
  <si>
    <t>SUMINSTRO DE EQUIPOS DE PESAJE: DINAMÓMETROS Y BÁSCULAS</t>
  </si>
  <si>
    <t>43222503;</t>
  </si>
  <si>
    <t>ESTUDIO DE VULNERABILIDAD SISMICA</t>
  </si>
  <si>
    <t>72154056;</t>
  </si>
  <si>
    <t>SERVICIO DE LAVADO Y DESINFECCIÓN DE TANQUES DE ALMACENAMIENTO DE AGUA POTABLE DE LAS UNIDADES DE SERVICIOS DE SALUD, SEDES ADMINISTRATIVOS Y UNIDADES BÁSICAS DE ATENCIÓN MÓVILES DE LA SUBRED INTEGRADA DE SERVICIOS DE SALUD SUR E.S.E.</t>
  </si>
  <si>
    <t>42294805;</t>
  </si>
  <si>
    <t xml:space="preserve">MANTENIMIENTO PREVENTIVO Y CORRECTIVO,  CON SUMINISTRO DE REPUESTOS Y/O ACCESORIOS NECESARIOS PARA EL BUEN FUNCIONAMIENTO DE LAS TORRES DE ENDOSCOPIA, LAPAROSCOPIA Y ARTROSCOPIA DE LA SUBRED SUR </t>
  </si>
  <si>
    <t>10</t>
  </si>
  <si>
    <t>42292900;</t>
  </si>
  <si>
    <t>MANTENIMIENTO PREVENTIVO, CON REPUESTOS Y MANO DE OBRA INCLUIDA PARA EL EQUIPO PROCESADOR DE TEJIDOS SHANDON PATHCENTRE Y CENTRAL DE INCLUSION SHANDON HISTOVENTRE, QUE SE ENCUENTRA EN EL SERVICIO DE PATOLOGIA DE LA USS TUNAL</t>
  </si>
  <si>
    <t>12</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</si>
  <si>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</si>
  <si>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</si>
  <si>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</si>
  <si>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</si>
  <si>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 xml:space="preserve">ADQUISICION  DE TERMOHIGROMETROS  </t>
  </si>
  <si>
    <t xml:space="preserve">ADQUISICION DE TUBOS DE RAYOS X E IMAGENES DIAGNOSTICAS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</si>
  <si>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</si>
  <si>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</si>
  <si>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</si>
  <si>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</si>
  <si>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</si>
  <si>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</si>
  <si>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72154101;</t>
  </si>
  <si>
    <t>ARRENDAMIENTO SISTEMA DE PRODUCCION AIRE MEDICINAL INSITUO POR COMPRESOR CON TODA LA INSTALACIÓN REQUERIDA A TODO COSTO DE LA USS TUNAL DE LA SUBRED SUR.</t>
  </si>
  <si>
    <t>7</t>
  </si>
  <si>
    <t>41103011;</t>
  </si>
  <si>
    <t>MANTENIMIENTO PREVENTIVO Y CORRECTIVO INCLUYENDO REPUESTOS Y ACCESORIOS NECESARIOS PARA GARANTIZAR EL CORRECTO FUNCIONAMIENTO DE LAS NEVERAS DE VACUNACION, CONGELADORES INDUSTRIALES, REFRIGERADORES, CRIOSTATOS Y CUERTOS FRIOS UBICADOS EN LA UNIDAD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</si>
  <si>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</si>
  <si>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MANTENIMIENTO  PREVENTIVO, CORRECTIVO DE VENTILADORES MARCA ORICARE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</si>
  <si>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</si>
  <si>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</si>
  <si>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</si>
  <si>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</si>
  <si>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</si>
  <si>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</si>
  <si>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</si>
  <si>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</si>
  <si>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</si>
  <si>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</si>
  <si>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</si>
  <si>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</si>
  <si>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</si>
  <si>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</si>
  <si>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</si>
  <si>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</si>
  <si>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</si>
  <si>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</si>
  <si>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</si>
  <si>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</si>
  <si>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</si>
  <si>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</si>
  <si>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</si>
  <si>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</si>
  <si>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</si>
  <si>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</si>
  <si>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</si>
  <si>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</si>
  <si>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</si>
  <si>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</si>
  <si>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</si>
  <si>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</si>
  <si>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</si>
  <si>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</si>
  <si>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</si>
  <si>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</si>
  <si>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</si>
  <si>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 xml:space="preserve"> 41113606;</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</si>
  <si>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</si>
  <si>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</si>
  <si>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</si>
  <si>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</si>
  <si>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</si>
  <si>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</si>
  <si>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</si>
  <si>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</si>
  <si>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</si>
  <si>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</si>
  <si>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</si>
  <si>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</si>
  <si>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</si>
  <si>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</si>
  <si>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</si>
  <si>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</si>
  <si>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</si>
  <si>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</si>
  <si>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</si>
  <si>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</si>
  <si>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</si>
  <si>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</si>
  <si>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</si>
  <si>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</si>
  <si>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</si>
  <si>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</si>
  <si>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</si>
  <si>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</si>
  <si>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</si>
  <si>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</si>
  <si>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</si>
  <si>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</si>
  <si>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</si>
  <si>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</si>
  <si>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51101500;51101600;51101700;51101800;51101900;51102000;51102100;51102200;51102300;51102400;51102500;51102600;51102700;73101701;</t>
  </si>
  <si>
    <t xml:space="preserve"> SUMINISTRO DE MEDICAMENTOS POS Y NO POS, PARA CUBIR LAS NECESIDADES DE LOS SERVICIOS ASISTENCIALES DE LAS DIFERENTES UNIDADES QUE COMPONEN LA SUBRED INTEGRADA DE SERVICIOS DE SALUD SUR E.S.E</t>
  </si>
  <si>
    <t>42221600;</t>
  </si>
  <si>
    <t xml:space="preserve">SUMINISTRO DE MEDICAMENTOS Y LIQUIDOS ENDOVENOSOS PARA CUBRIR LAS NECESIDADES DE LOS SERVICIOS ASISTENCIALES DE LA SUBRED SUR </t>
  </si>
  <si>
    <t>85121900;</t>
  </si>
  <si>
    <t>SUMINISTRO DE MEDICAMENTOS MONOPOLIO DEL ESTADO PARA GARANTIZAR LA PRESTACIÓN DE LOS SERVICIOS ASISTENCIALES EN LA SUBRED INTEGRADA DE SERVICIOS DE SALUD SUR E.S.E.  COTRATO 087-2018</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</si>
  <si>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</si>
  <si>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</si>
  <si>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</si>
  <si>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HISPITALARIOS DE LA SUBRED SUR </t>
  </si>
  <si>
    <t>42192602;</t>
  </si>
  <si>
    <t xml:space="preserve">SERVICIO DE ADECUACION DE REEMPAQUE DE  SOLIDOS ADECUACION DE ANTIBIOTICOS Y MAGISTRALES </t>
  </si>
  <si>
    <t>85121800;85121801;85121802;85121803;85121804;85121805</t>
  </si>
  <si>
    <t>PRESTACIÓN DE SERVICIOS PARA EL PROCESAMIENTO DE EXÁMENES ESPECIALIZADOS Y NO ESPECIALIZADOS DE LABORATORIO QUE SEAN REQUERIDOS POR LA SUBRED INTEGRADA DE SERVICIOS DE SALUD SUR E.S.E</t>
  </si>
  <si>
    <t>313-2428948</t>
  </si>
  <si>
    <t>SUMINISTRO DE DISPOSITIVOS INSUMOS Y REACTIVOS PARA EL SERVICIO TRANSFUSIONAL</t>
  </si>
  <si>
    <t>72154020;</t>
  </si>
  <si>
    <t xml:space="preserve">VALIDACION DEL PROCESO PRODUCTIVO DE AIRE MEDICINAL EN SITIO POR COMPRESOR </t>
  </si>
  <si>
    <t>81141500;;</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</si>
  <si>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</si>
  <si>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</si>
  <si>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</si>
  <si>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</si>
  <si>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</si>
  <si>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</si>
  <si>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</si>
  <si>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</si>
  <si>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</si>
  <si>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</si>
  <si>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</si>
  <si>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LOSSERVICIOS WEB PARA INRTEROPERAR CON LA PLATAFORMA BOGOTA SALUD DIGITAL EN ATENCION AL CONVENIO 0800 DE 2019, SUSCRITO ENTRE EL FONDO FINANCIERO DISTRITAL DE SALUD Y LA SUBRED INTEGRADA DE SERVICIOS DE SALUD SUR E.S.E</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</si>
  <si>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</si>
  <si>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EOL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</si>
  <si>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</si>
  <si>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</si>
  <si>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</si>
  <si>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</si>
  <si>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</si>
  <si>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</si>
  <si>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</si>
  <si>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</si>
  <si>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</si>
  <si>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42211500; </t>
  </si>
  <si>
    <t>85122100;</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</si>
  <si>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</si>
  <si>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</si>
  <si>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</si>
  <si>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</si>
  <si>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</si>
  <si>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</si>
  <si>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</si>
  <si>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</si>
  <si>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SUBRED INTEGRADA DE SERVICIOS DE SALUD SUR E.S.E
PLAN ANUAL DE ADQUISICIONES AÑO 2020
VERSIÓN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</si>
</sst>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3" formatCode="_-* #,##0.00_-;\-* #,##0.00_-;_-* &quot;-&quot;??_-;_-@_-"/>
    <numFmt numFmtId="164" formatCode="#,###\ &quot;COP&quot;"/>
    <numFmt numFmtId="165" formatCode="#,##0.00\ \€"/>
  </numFmts>
  <fonts count="9" x14ac:knownFonts="1">
    <font>
      <sz val="10"/>
      <color theme="1"/>
      <name val="Arial"/>
      <family val="2"/>
    </font>
    <font>
      <sz val="10"/>
      <color theme="1"/>
      <name val="Verdana"/>
      <family val="2"/>
    </font>
    <font>
      <b/>
      <sz val="10"/>
      <color theme="1"/>
      <name val="Verdana"/>
      <family val="2"/>
    </font>
    <font>
      <sz val="10"/>
      <color theme="1"/>
      <name val="Arial"/>
      <family val="2"/>
    </font>
    <font>
      <b/>
      <sz val="10"/>
      <color theme="1"/>
      <name val="Arial"/>
      <family val="2"/>
    </font>
    <font>
      <u/>
      <sz val="10"/>
      <color theme="10"/>
      <name val="Arial"/>
      <family val="2"/>
    </font>
    <font>
      <u/>
      <sz val="10"/>
      <color theme="1"/>
      <name val="Arial"/>
      <family val="2"/>
    </font>
    <font>
      <b/>
      <sz val="10"/>
      <name val="Arial"/>
      <family val="2"/>
    </font>
    <font>
      <sz val="1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8">
    <xf numFmtId="0" fontId="0" fillId="0" borderId="0"/>
    <xf numFmtId="42"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 fillId="2" borderId="1" applyNumberFormat="0" applyProtection="0">
      <alignment horizontal="left" vertical="center" wrapText="1"/>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3" fillId="0" borderId="1" applyNumberFormat="0" applyFont="0" applyFill="0" applyAlignment="0" applyProtection="0"/>
    <xf numFmtId="0" fontId="5" fillId="0" borderId="0" applyNumberFormat="0" applyFill="0" applyBorder="0" applyAlignment="0" applyProtection="0"/>
  </cellStyleXfs>
  <cellXfs count="80">
    <xf numFmtId="0" fontId="0" fillId="0" borderId="0" xfId="0"/>
    <xf numFmtId="0" fontId="0" fillId="0" borderId="0" xfId="0" applyProtection="1">
      <protection locked="0"/>
    </xf>
    <xf numFmtId="1" fontId="0" fillId="0" borderId="0" xfId="0" applyNumberFormat="1" applyProtection="1">
      <protection locked="0"/>
    </xf>
    <xf numFmtId="0" fontId="0" fillId="6" borderId="3" xfId="0" applyFont="1" applyFill="1" applyBorder="1" applyAlignment="1" applyProtection="1">
      <alignment horizontal="center" vertical="center" wrapText="1"/>
      <protection locked="0"/>
    </xf>
    <xf numFmtId="49" fontId="4" fillId="6" borderId="4" xfId="14" applyFont="1" applyFill="1" applyBorder="1" applyAlignment="1" applyProtection="1">
      <alignment horizontal="center" vertical="center" wrapText="1"/>
      <protection locked="0"/>
    </xf>
    <xf numFmtId="0" fontId="0" fillId="6" borderId="1" xfId="0" applyFont="1" applyFill="1" applyBorder="1" applyAlignment="1" applyProtection="1">
      <alignment horizontal="center" vertical="center"/>
      <protection locked="0"/>
    </xf>
    <xf numFmtId="49" fontId="3" fillId="6" borderId="1" xfId="14" applyFont="1" applyFill="1" applyBorder="1" applyAlignment="1" applyProtection="1">
      <alignment horizontal="center" vertical="center" wrapText="1"/>
      <protection locked="0"/>
    </xf>
    <xf numFmtId="164" fontId="3" fillId="6" borderId="1" xfId="3" applyNumberFormat="1" applyFont="1" applyFill="1" applyBorder="1" applyAlignment="1" applyProtection="1">
      <alignment horizontal="center" vertical="center" wrapText="1"/>
      <protection locked="0"/>
    </xf>
    <xf numFmtId="164" fontId="3" fillId="6" borderId="5" xfId="3" applyNumberFormat="1" applyFont="1" applyFill="1" applyBorder="1" applyAlignment="1" applyProtection="1">
      <alignment horizontal="center" vertical="center" wrapText="1"/>
      <protection locked="0"/>
    </xf>
    <xf numFmtId="0" fontId="4" fillId="6" borderId="4"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7" fillId="6" borderId="4" xfId="0" applyFont="1" applyFill="1" applyBorder="1" applyAlignment="1">
      <alignment horizontal="center" vertical="center" wrapText="1"/>
    </xf>
    <xf numFmtId="49" fontId="4" fillId="0" borderId="4" xfId="14"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49" fontId="3" fillId="0" borderId="1" xfId="14"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protection locked="0"/>
    </xf>
    <xf numFmtId="49" fontId="3" fillId="6" borderId="5" xfId="14" applyFont="1" applyFill="1" applyBorder="1" applyAlignment="1" applyProtection="1">
      <alignment horizontal="center" vertical="center" wrapText="1"/>
      <protection locked="0"/>
    </xf>
    <xf numFmtId="0" fontId="0" fillId="6" borderId="1" xfId="0" applyFont="1" applyFill="1" applyBorder="1" applyAlignment="1" applyProtection="1">
      <alignment horizontal="center" vertical="center" wrapText="1"/>
      <protection locked="0"/>
    </xf>
    <xf numFmtId="0" fontId="4" fillId="6" borderId="4" xfId="14" applyNumberFormat="1" applyFont="1" applyFill="1" applyBorder="1" applyAlignment="1" applyProtection="1">
      <alignment horizontal="center" vertical="center" wrapText="1"/>
      <protection locked="0"/>
    </xf>
    <xf numFmtId="0" fontId="4" fillId="6" borderId="1" xfId="14" applyNumberFormat="1"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49" fontId="3" fillId="6" borderId="3" xfId="14"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wrapText="1"/>
    </xf>
    <xf numFmtId="49" fontId="0" fillId="6" borderId="1" xfId="14" applyFont="1" applyFill="1" applyBorder="1" applyAlignment="1" applyProtection="1">
      <alignment horizontal="center" vertical="center" wrapText="1"/>
      <protection locked="0"/>
    </xf>
    <xf numFmtId="0" fontId="0" fillId="6" borderId="1" xfId="0" applyFill="1" applyBorder="1" applyAlignment="1">
      <alignment horizontal="center" vertical="center"/>
    </xf>
    <xf numFmtId="0" fontId="3" fillId="0" borderId="1" xfId="1" applyNumberFormat="1" applyFont="1" applyBorder="1" applyAlignment="1">
      <alignment horizontal="center" vertical="center"/>
    </xf>
    <xf numFmtId="0" fontId="3" fillId="6" borderId="1" xfId="1" applyNumberFormat="1" applyFont="1" applyFill="1" applyBorder="1" applyAlignment="1">
      <alignment horizontal="center" vertical="center"/>
    </xf>
    <xf numFmtId="0" fontId="0" fillId="0" borderId="1" xfId="0" applyBorder="1" applyAlignment="1">
      <alignment horizontal="center" vertical="center"/>
    </xf>
    <xf numFmtId="49" fontId="0" fillId="6" borderId="5" xfId="14" applyFont="1" applyFill="1" applyBorder="1" applyAlignment="1" applyProtection="1">
      <alignment horizontal="center" vertical="center" wrapText="1"/>
      <protection locked="0"/>
    </xf>
    <xf numFmtId="0" fontId="4" fillId="6" borderId="5" xfId="14" applyNumberFormat="1" applyFont="1" applyFill="1" applyBorder="1" applyAlignment="1" applyProtection="1">
      <alignment horizontal="center" vertical="center" wrapText="1"/>
      <protection locked="0"/>
    </xf>
    <xf numFmtId="0" fontId="0" fillId="6" borderId="5" xfId="0" applyFont="1" applyFill="1" applyBorder="1" applyAlignment="1" applyProtection="1">
      <alignment horizontal="center" vertical="center"/>
      <protection locked="0"/>
    </xf>
    <xf numFmtId="0" fontId="0" fillId="0" borderId="7" xfId="0" applyBorder="1" applyAlignment="1">
      <alignment horizontal="center" vertical="center"/>
    </xf>
    <xf numFmtId="0" fontId="4" fillId="6" borderId="9" xfId="14" applyNumberFormat="1" applyFont="1" applyFill="1" applyBorder="1" applyAlignment="1" applyProtection="1">
      <alignment horizontal="center" vertical="center" wrapText="1"/>
      <protection locked="0"/>
    </xf>
    <xf numFmtId="49" fontId="3" fillId="6" borderId="9" xfId="14" applyFont="1" applyFill="1" applyBorder="1" applyAlignment="1" applyProtection="1">
      <alignment horizontal="center" vertical="center" wrapText="1"/>
      <protection locked="0"/>
    </xf>
    <xf numFmtId="49" fontId="0" fillId="6" borderId="9" xfId="14" applyFont="1" applyFill="1" applyBorder="1" applyAlignment="1" applyProtection="1">
      <alignment horizontal="center" vertical="center" wrapText="1"/>
      <protection locked="0"/>
    </xf>
    <xf numFmtId="164" fontId="3" fillId="6" borderId="9" xfId="3" applyNumberFormat="1" applyFont="1" applyFill="1" applyBorder="1" applyAlignment="1" applyProtection="1">
      <alignment horizontal="center" vertical="center" wrapText="1"/>
      <protection locked="0"/>
    </xf>
    <xf numFmtId="0" fontId="0" fillId="0" borderId="0" xfId="0" applyProtection="1">
      <protection locked="0"/>
    </xf>
    <xf numFmtId="1" fontId="0" fillId="0" borderId="0" xfId="0" applyNumberFormat="1" applyProtection="1">
      <protection locked="0"/>
    </xf>
    <xf numFmtId="0" fontId="2" fillId="2" borderId="2" xfId="7" applyBorder="1" applyProtection="1">
      <alignment horizontal="left" vertical="center" wrapText="1"/>
    </xf>
    <xf numFmtId="0" fontId="0" fillId="0" borderId="10" xfId="0" applyBorder="1" applyProtection="1">
      <protection locked="0"/>
    </xf>
    <xf numFmtId="1" fontId="0" fillId="0" borderId="10" xfId="0" applyNumberFormat="1"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0" xfId="0" applyBorder="1" applyProtection="1">
      <protection locked="0"/>
    </xf>
    <xf numFmtId="1" fontId="0" fillId="0" borderId="0" xfId="0" applyNumberFormat="1" applyBorder="1" applyProtection="1">
      <protection locked="0"/>
    </xf>
    <xf numFmtId="0" fontId="0" fillId="0" borderId="13" xfId="0" applyBorder="1" applyProtection="1">
      <protection locked="0"/>
    </xf>
    <xf numFmtId="0" fontId="0" fillId="6" borderId="6" xfId="0" applyFont="1" applyFill="1" applyBorder="1" applyAlignment="1">
      <alignment horizontal="center" vertical="center" wrapText="1"/>
    </xf>
    <xf numFmtId="49" fontId="4" fillId="6" borderId="15" xfId="14" applyFont="1" applyFill="1" applyBorder="1" applyAlignment="1" applyProtection="1">
      <alignment horizontal="center" vertical="center" wrapText="1"/>
      <protection locked="0"/>
    </xf>
    <xf numFmtId="0" fontId="2" fillId="3" borderId="17" xfId="8" applyBorder="1" applyProtection="1">
      <alignment horizontal="center" vertical="center"/>
    </xf>
    <xf numFmtId="0" fontId="2" fillId="3" borderId="18" xfId="8" applyBorder="1" applyProtection="1">
      <alignment horizontal="center" vertical="center"/>
    </xf>
    <xf numFmtId="0" fontId="6" fillId="6" borderId="19" xfId="27" applyFont="1" applyFill="1" applyBorder="1" applyAlignment="1" applyProtection="1">
      <alignment horizontal="center" vertical="center"/>
      <protection locked="0"/>
    </xf>
    <xf numFmtId="0" fontId="6" fillId="6" borderId="7" xfId="27" applyFont="1" applyFill="1" applyBorder="1" applyAlignment="1" applyProtection="1">
      <alignment horizontal="center" vertical="center"/>
      <protection locked="0"/>
    </xf>
    <xf numFmtId="49" fontId="6" fillId="6" borderId="7" xfId="27" applyNumberFormat="1" applyFont="1" applyFill="1" applyBorder="1" applyAlignment="1" applyProtection="1">
      <alignment horizontal="center" vertical="center" wrapText="1"/>
      <protection locked="0"/>
    </xf>
    <xf numFmtId="0" fontId="6" fillId="0" borderId="7" xfId="27"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6" borderId="7" xfId="27"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27" applyFont="1" applyBorder="1" applyAlignment="1">
      <alignment horizontal="center" vertical="center" wrapText="1"/>
    </xf>
    <xf numFmtId="0" fontId="0" fillId="6" borderId="19" xfId="0" applyFont="1" applyFill="1" applyBorder="1" applyAlignment="1">
      <alignment horizontal="center" vertical="center"/>
    </xf>
    <xf numFmtId="0" fontId="0" fillId="6" borderId="7" xfId="0" applyFont="1" applyFill="1" applyBorder="1" applyAlignment="1">
      <alignment horizontal="center" vertical="center"/>
    </xf>
    <xf numFmtId="0" fontId="0" fillId="0" borderId="14" xfId="0" applyBorder="1" applyAlignment="1">
      <alignment horizontal="center" vertical="center"/>
    </xf>
    <xf numFmtId="0" fontId="0" fillId="0" borderId="0" xfId="0" applyAlignment="1" applyProtection="1">
      <alignment wrapText="1"/>
      <protection locked="0"/>
    </xf>
    <xf numFmtId="0" fontId="2" fillId="3" borderId="17" xfId="8" applyBorder="1" applyAlignment="1" applyProtection="1">
      <alignment horizontal="center" vertical="center" wrapText="1"/>
    </xf>
    <xf numFmtId="0" fontId="2" fillId="3" borderId="16" xfId="8" applyBorder="1" applyAlignment="1" applyProtection="1">
      <alignment horizontal="center" vertical="center" wrapText="1"/>
    </xf>
    <xf numFmtId="0" fontId="3" fillId="6" borderId="3" xfId="8" applyFont="1" applyFill="1" applyBorder="1" applyAlignment="1" applyProtection="1">
      <alignment horizontal="center" vertical="center" wrapText="1"/>
    </xf>
    <xf numFmtId="0" fontId="0" fillId="6" borderId="3" xfId="0" applyFont="1" applyFill="1" applyBorder="1" applyAlignment="1">
      <alignment horizontal="center" vertical="center" wrapText="1"/>
    </xf>
    <xf numFmtId="49" fontId="3" fillId="6" borderId="3" xfId="14" applyFont="1" applyFill="1" applyBorder="1" applyAlignment="1" applyProtection="1">
      <alignment horizontal="center" vertical="center" wrapText="1"/>
    </xf>
    <xf numFmtId="0" fontId="0" fillId="6" borderId="3" xfId="0" applyFill="1" applyBorder="1" applyAlignment="1">
      <alignment horizontal="center" vertical="center" wrapText="1"/>
    </xf>
    <xf numFmtId="0" fontId="0" fillId="0" borderId="3" xfId="0" applyBorder="1" applyAlignment="1">
      <alignment horizontal="center" vertical="center" wrapText="1"/>
    </xf>
    <xf numFmtId="0" fontId="0" fillId="6" borderId="3"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49" fontId="3" fillId="6" borderId="6" xfId="14" applyFont="1" applyFill="1" applyBorder="1" applyAlignment="1" applyProtection="1">
      <alignment horizontal="center" vertical="center" wrapText="1"/>
    </xf>
    <xf numFmtId="49" fontId="3" fillId="6" borderId="8" xfId="14" applyFont="1" applyFill="1" applyBorder="1" applyAlignment="1" applyProtection="1">
      <alignment horizontal="center" vertical="center" wrapText="1"/>
    </xf>
    <xf numFmtId="0" fontId="0" fillId="0" borderId="0" xfId="0" applyAlignment="1" applyProtection="1">
      <alignment horizontal="center" wrapText="1"/>
      <protection locked="0"/>
    </xf>
    <xf numFmtId="1" fontId="2" fillId="3" borderId="17" xfId="8" applyNumberFormat="1" applyBorder="1" applyAlignment="1" applyProtection="1">
      <alignment horizontal="center" vertical="center" wrapText="1"/>
      <protection locked="0"/>
    </xf>
    <xf numFmtId="0" fontId="0" fillId="6" borderId="5" xfId="0" applyFont="1" applyFill="1" applyBorder="1" applyAlignment="1" applyProtection="1">
      <alignment horizontal="center" vertical="center" wrapText="1"/>
      <protection locked="0"/>
    </xf>
    <xf numFmtId="0" fontId="4" fillId="7" borderId="20" xfId="0"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protection locked="0"/>
    </xf>
    <xf numFmtId="0" fontId="4" fillId="7" borderId="22" xfId="0" applyFont="1" applyFill="1" applyBorder="1" applyAlignment="1" applyProtection="1">
      <alignment horizontal="center" vertical="center" wrapText="1"/>
      <protection locked="0"/>
    </xf>
  </cellXfs>
  <cellStyles count="28">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7" builtinId="8"/>
    <cellStyle name="MainTitle" xfId="7"/>
    <cellStyle name="Moneda [0]" xfId="1" builtinId="7"/>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1696984</xdr:colOff>
      <xdr:row>1</xdr:row>
      <xdr:rowOff>65690</xdr:rowOff>
    </xdr:from>
    <xdr:to>
      <xdr:col>2</xdr:col>
      <xdr:colOff>1872156</xdr:colOff>
      <xdr:row>1</xdr:row>
      <xdr:rowOff>582865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1" y="240862"/>
          <a:ext cx="2386724" cy="51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sst@subredsur.gov.co" TargetMode="External"/><Relationship Id="rId21" Type="http://schemas.openxmlformats.org/officeDocument/2006/relationships/hyperlink" Target="mailto:biomedica@subredsur.gov.co" TargetMode="External"/><Relationship Id="rId42" Type="http://schemas.openxmlformats.org/officeDocument/2006/relationships/hyperlink" Target="mailto:gestionambiental@subredsur.gov.co" TargetMode="External"/><Relationship Id="rId47" Type="http://schemas.openxmlformats.org/officeDocument/2006/relationships/hyperlink" Target="mailto:gestionambiental@subredsur.gov.co" TargetMode="External"/><Relationship Id="rId63" Type="http://schemas.openxmlformats.org/officeDocument/2006/relationships/hyperlink" Target="mailto:recursos.fisicos.tunjuelito@subredsur.gov.co" TargetMode="External"/><Relationship Id="rId68" Type="http://schemas.openxmlformats.org/officeDocument/2006/relationships/hyperlink" Target="mailto:jefe.mantenimiento@subredsur.gov.co" TargetMode="External"/><Relationship Id="rId16" Type="http://schemas.openxmlformats.org/officeDocument/2006/relationships/hyperlink" Target="mailto:dir.talentohumano@subredsur.gov.co" TargetMode="External"/><Relationship Id="rId11" Type="http://schemas.openxmlformats.org/officeDocument/2006/relationships/hyperlink" Target="mailto:dir.talentohumano@subredsur.gov.co" TargetMode="External"/><Relationship Id="rId24" Type="http://schemas.openxmlformats.org/officeDocument/2006/relationships/hyperlink" Target="mailto:biomedica@subredsur.gov.co" TargetMode="External"/><Relationship Id="rId32" Type="http://schemas.openxmlformats.org/officeDocument/2006/relationships/hyperlink" Target="mailto:biomedica@subredsur.gov.co" TargetMode="External"/><Relationship Id="rId37" Type="http://schemas.openxmlformats.org/officeDocument/2006/relationships/hyperlink" Target="mailto:biomedica@subredsur.gov.co" TargetMode="External"/><Relationship Id="rId40" Type="http://schemas.openxmlformats.org/officeDocument/2006/relationships/hyperlink" Target="mailto:biomedica@subredsur.gov.co" TargetMode="External"/><Relationship Id="rId45" Type="http://schemas.openxmlformats.org/officeDocument/2006/relationships/hyperlink" Target="mailto:gestionambiental@subredsur.gov.co" TargetMode="External"/><Relationship Id="rId53" Type="http://schemas.openxmlformats.org/officeDocument/2006/relationships/hyperlink" Target="mailto:recursosfisicos.usme@subredsur.gov.co" TargetMode="External"/><Relationship Id="rId58" Type="http://schemas.openxmlformats.org/officeDocument/2006/relationships/hyperlink" Target="mailto:rfisicosvistahermosa@subredsur.gov.co" TargetMode="External"/><Relationship Id="rId66" Type="http://schemas.openxmlformats.org/officeDocument/2006/relationships/hyperlink" Target="mailto:jefe.mantenimiento@subredsur.gov.co" TargetMode="External"/><Relationship Id="rId74" Type="http://schemas.openxmlformats.org/officeDocument/2006/relationships/hyperlink" Target="mailto:gestionsuministros@subredsur.gov.co" TargetMode="External"/><Relationship Id="rId5" Type="http://schemas.openxmlformats.org/officeDocument/2006/relationships/hyperlink" Target="mailto:jefe.sistemastics@subredsur.gov.co" TargetMode="External"/><Relationship Id="rId61" Type="http://schemas.openxmlformats.org/officeDocument/2006/relationships/hyperlink" Target="mailto:recursosfisicostunal@subredsur.gov.co" TargetMode="External"/><Relationship Id="rId19" Type="http://schemas.openxmlformats.org/officeDocument/2006/relationships/hyperlink" Target="mailto:dir.talentohumano@subredsur.gov.co" TargetMode="External"/><Relationship Id="rId14" Type="http://schemas.openxmlformats.org/officeDocument/2006/relationships/hyperlink" Target="mailto:dir.talentohumano@subredsur.gov.co" TargetMode="External"/><Relationship Id="rId22" Type="http://schemas.openxmlformats.org/officeDocument/2006/relationships/hyperlink" Target="mailto:biomedica@subredsur.gov.co" TargetMode="External"/><Relationship Id="rId27" Type="http://schemas.openxmlformats.org/officeDocument/2006/relationships/hyperlink" Target="mailto:recursosfisicos.usme@subredsur.gov.co" TargetMode="External"/><Relationship Id="rId30" Type="http://schemas.openxmlformats.org/officeDocument/2006/relationships/hyperlink" Target="mailto:biomedica@subredsur.gov.co" TargetMode="External"/><Relationship Id="rId35" Type="http://schemas.openxmlformats.org/officeDocument/2006/relationships/hyperlink" Target="mailto:biomedica@subredsur.gov.co" TargetMode="External"/><Relationship Id="rId43" Type="http://schemas.openxmlformats.org/officeDocument/2006/relationships/hyperlink" Target="mailto:gestionambiental@subredsur.gov.co" TargetMode="External"/><Relationship Id="rId48" Type="http://schemas.openxmlformats.org/officeDocument/2006/relationships/hyperlink" Target="mailto:gestionambiental@subredsur.gov.co" TargetMode="External"/><Relationship Id="rId56" Type="http://schemas.openxmlformats.org/officeDocument/2006/relationships/hyperlink" Target="mailto:recursosfisicosmeissen@subredsur.gov.co" TargetMode="External"/><Relationship Id="rId64" Type="http://schemas.openxmlformats.org/officeDocument/2006/relationships/hyperlink" Target="mailto:recursos.fisicos.tunjuelito@subredsur.gov.co" TargetMode="External"/><Relationship Id="rId69" Type="http://schemas.openxmlformats.org/officeDocument/2006/relationships/hyperlink" Target="mailto:servicios.basicos.nazareth@subredsur.gov.co" TargetMode="External"/><Relationship Id="rId77" Type="http://schemas.openxmlformats.org/officeDocument/2006/relationships/drawing" Target="../drawings/drawing1.xml"/><Relationship Id="rId8" Type="http://schemas.openxmlformats.org/officeDocument/2006/relationships/hyperlink" Target="mailto:jefe.sistemastics@subredsur.gov.co" TargetMode="External"/><Relationship Id="rId51" Type="http://schemas.openxmlformats.org/officeDocument/2006/relationships/hyperlink" Target="mailto:recursosfisicos.usme@subredsur.gov.co" TargetMode="External"/><Relationship Id="rId72" Type="http://schemas.openxmlformats.org/officeDocument/2006/relationships/hyperlink" Target="mailto:gestionsuministros@subredsur.gov.co" TargetMode="External"/><Relationship Id="rId3" Type="http://schemas.openxmlformats.org/officeDocument/2006/relationships/hyperlink" Target="mailto:jefe.sistemastics@subredsur.gov.co" TargetMode="External"/><Relationship Id="rId12" Type="http://schemas.openxmlformats.org/officeDocument/2006/relationships/hyperlink" Target="mailto:dir.talentohumano@subredsur.gov.co" TargetMode="External"/><Relationship Id="rId17" Type="http://schemas.openxmlformats.org/officeDocument/2006/relationships/hyperlink" Target="mailto:dir.talentohumano@subredsur.gov.co" TargetMode="External"/><Relationship Id="rId25" Type="http://schemas.openxmlformats.org/officeDocument/2006/relationships/hyperlink" Target="mailto:recursosfisicos.usme@subredsur.gov.co" TargetMode="External"/><Relationship Id="rId33" Type="http://schemas.openxmlformats.org/officeDocument/2006/relationships/hyperlink" Target="mailto:biomedica@subredsur.gov.co" TargetMode="External"/><Relationship Id="rId38" Type="http://schemas.openxmlformats.org/officeDocument/2006/relationships/hyperlink" Target="mailto:biomedica@subredsur.gov.co" TargetMode="External"/><Relationship Id="rId46" Type="http://schemas.openxmlformats.org/officeDocument/2006/relationships/hyperlink" Target="mailto:gestionambiental@subredsur.gov.co" TargetMode="External"/><Relationship Id="rId59" Type="http://schemas.openxmlformats.org/officeDocument/2006/relationships/hyperlink" Target="mailto:rfisicosvistahermosa@subredsur.gov.co" TargetMode="External"/><Relationship Id="rId67" Type="http://schemas.openxmlformats.org/officeDocument/2006/relationships/hyperlink" Target="mailto:jefe.mantenimiento@subredsur.gov.co" TargetMode="External"/><Relationship Id="rId20" Type="http://schemas.openxmlformats.org/officeDocument/2006/relationships/hyperlink" Target="mailto:activos.fijos.lider@subredsur.gov.co" TargetMode="External"/><Relationship Id="rId41" Type="http://schemas.openxmlformats.org/officeDocument/2006/relationships/hyperlink" Target="mailto:jefe.mantenimiento@subredsur.gov.co" TargetMode="External"/><Relationship Id="rId54" Type="http://schemas.openxmlformats.org/officeDocument/2006/relationships/hyperlink" Target="mailto:recursosfisicos.usme@subredsur.gov.co" TargetMode="External"/><Relationship Id="rId62" Type="http://schemas.openxmlformats.org/officeDocument/2006/relationships/hyperlink" Target="mailto:recursos.fisicos.tunjuelito@subredsur.gov.co" TargetMode="External"/><Relationship Id="rId70" Type="http://schemas.openxmlformats.org/officeDocument/2006/relationships/hyperlink" Target="mailto:medicoquirurgicos@subredsur.gov.co" TargetMode="External"/><Relationship Id="rId75" Type="http://schemas.openxmlformats.org/officeDocument/2006/relationships/hyperlink" Target="mailto:gestionsuministros@subredsur.gov.co" TargetMode="External"/><Relationship Id="rId1" Type="http://schemas.openxmlformats.org/officeDocument/2006/relationships/hyperlink" Target="mailto:jefe.sistemastics@subredsur.gov.co" TargetMode="External"/><Relationship Id="rId6" Type="http://schemas.openxmlformats.org/officeDocument/2006/relationships/hyperlink" Target="mailto:jefe.sistemastics@subredsur.gov.co" TargetMode="External"/><Relationship Id="rId15" Type="http://schemas.openxmlformats.org/officeDocument/2006/relationships/hyperlink" Target="mailto:dir.talentohumano@subredsur.gov.co" TargetMode="External"/><Relationship Id="rId23" Type="http://schemas.openxmlformats.org/officeDocument/2006/relationships/hyperlink" Target="mailto:biomedica@subredsur.gov.co" TargetMode="External"/><Relationship Id="rId28" Type="http://schemas.openxmlformats.org/officeDocument/2006/relationships/hyperlink" Target="mailto:biomedica@subredsur.gov.co" TargetMode="External"/><Relationship Id="rId36" Type="http://schemas.openxmlformats.org/officeDocument/2006/relationships/hyperlink" Target="mailto:biomedica@subredsur.gov.co" TargetMode="External"/><Relationship Id="rId49" Type="http://schemas.openxmlformats.org/officeDocument/2006/relationships/hyperlink" Target="mailto:gestionambiental@subredsur.gov.co" TargetMode="External"/><Relationship Id="rId57" Type="http://schemas.openxmlformats.org/officeDocument/2006/relationships/hyperlink" Target="mailto:recursosfisicosmeissen@subredsur.gov.co" TargetMode="External"/><Relationship Id="rId10" Type="http://schemas.openxmlformats.org/officeDocument/2006/relationships/hyperlink" Target="mailto:jefe.sistemastics@subredsur.gov.co" TargetMode="External"/><Relationship Id="rId31" Type="http://schemas.openxmlformats.org/officeDocument/2006/relationships/hyperlink" Target="mailto:biomedica@subredsur.gov.co" TargetMode="External"/><Relationship Id="rId44" Type="http://schemas.openxmlformats.org/officeDocument/2006/relationships/hyperlink" Target="mailto:gestionambiental@subredsur.gov.co" TargetMode="External"/><Relationship Id="rId52" Type="http://schemas.openxmlformats.org/officeDocument/2006/relationships/hyperlink" Target="mailto:recursosfisicos.usme@subredsur.gov.co" TargetMode="External"/><Relationship Id="rId60" Type="http://schemas.openxmlformats.org/officeDocument/2006/relationships/hyperlink" Target="mailto:rfisicosvistahermosa@subredsur.gov.co" TargetMode="External"/><Relationship Id="rId65" Type="http://schemas.openxmlformats.org/officeDocument/2006/relationships/hyperlink" Target="mailto:recursosfisicostunal@subredsur.gov.co" TargetMode="External"/><Relationship Id="rId73" Type="http://schemas.openxmlformats.org/officeDocument/2006/relationships/hyperlink" Target="mailto:gestionsuministros@subredsur.gov.co" TargetMode="External"/><Relationship Id="rId4" Type="http://schemas.openxmlformats.org/officeDocument/2006/relationships/hyperlink" Target="mailto:jefe.sistemastics@subredsur.gov.co" TargetMode="External"/><Relationship Id="rId9" Type="http://schemas.openxmlformats.org/officeDocument/2006/relationships/hyperlink" Target="mailto:jefe.sistemastics@subredsur.gov.co" TargetMode="External"/><Relationship Id="rId13" Type="http://schemas.openxmlformats.org/officeDocument/2006/relationships/hyperlink" Target="mailto:dir.talentohumano@subredsur.gov.co" TargetMode="External"/><Relationship Id="rId18" Type="http://schemas.openxmlformats.org/officeDocument/2006/relationships/hyperlink" Target="mailto:dir.talentohumano@subredsur.gov.co" TargetMode="External"/><Relationship Id="rId39" Type="http://schemas.openxmlformats.org/officeDocument/2006/relationships/hyperlink" Target="mailto:biomedica@subredsur.gov.co" TargetMode="External"/><Relationship Id="rId34" Type="http://schemas.openxmlformats.org/officeDocument/2006/relationships/hyperlink" Target="mailto:biomedica@subredsur.gov.co" TargetMode="External"/><Relationship Id="rId50" Type="http://schemas.openxmlformats.org/officeDocument/2006/relationships/hyperlink" Target="mailto:jefe.mantenimiento@subredsur.gov.co" TargetMode="External"/><Relationship Id="rId55" Type="http://schemas.openxmlformats.org/officeDocument/2006/relationships/hyperlink" Target="mailto:recursosfisicos.usme@subredsur.gov.co" TargetMode="External"/><Relationship Id="rId76" Type="http://schemas.openxmlformats.org/officeDocument/2006/relationships/printerSettings" Target="../printerSettings/printerSettings1.bin"/><Relationship Id="rId7" Type="http://schemas.openxmlformats.org/officeDocument/2006/relationships/hyperlink" Target="mailto:jefe.sistemastics@subredsur.gov.co" TargetMode="External"/><Relationship Id="rId71" Type="http://schemas.openxmlformats.org/officeDocument/2006/relationships/hyperlink" Target="mailto:medicoquirurgicos@subredsur.gov.co" TargetMode="External"/><Relationship Id="rId2" Type="http://schemas.openxmlformats.org/officeDocument/2006/relationships/hyperlink" Target="mailto:jefe.sistemastics@subredsur.gov.co" TargetMode="External"/><Relationship Id="rId29" Type="http://schemas.openxmlformats.org/officeDocument/2006/relationships/hyperlink" Target="mailto:recursosfisicos.usme@subredsu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8"/>
  <sheetViews>
    <sheetView tabSelected="1" zoomScale="87" zoomScaleNormal="87" workbookViewId="0">
      <selection activeCell="B2" sqref="B2:R2"/>
    </sheetView>
  </sheetViews>
  <sheetFormatPr baseColWidth="10" defaultColWidth="9.140625" defaultRowHeight="12.75" x14ac:dyDescent="0.2"/>
  <cols>
    <col min="1" max="1" width="3.140625" customWidth="1"/>
    <col min="2" max="2" width="33.140625" style="62" customWidth="1"/>
    <col min="3" max="3" width="104.7109375" style="74" customWidth="1"/>
    <col min="4" max="4" width="35.42578125" style="1" customWidth="1"/>
    <col min="5" max="5" width="33.85546875" style="1" customWidth="1"/>
    <col min="6" max="6" width="28.42578125" style="1" customWidth="1"/>
    <col min="7" max="7" width="33.7109375" style="1" customWidth="1"/>
    <col min="8" max="8" width="26.42578125" style="1" customWidth="1"/>
    <col min="9" max="9" width="25.42578125" style="1" customWidth="1"/>
    <col min="10" max="10" width="25.28515625" style="2" customWidth="1"/>
    <col min="11" max="11" width="31.7109375" style="2" customWidth="1"/>
    <col min="12" max="12" width="28.7109375" style="1" customWidth="1"/>
    <col min="13" max="13" width="32.85546875" style="1" customWidth="1"/>
    <col min="14" max="14" width="26.7109375" style="62" customWidth="1"/>
    <col min="15" max="15" width="17.5703125" style="1" customWidth="1"/>
    <col min="16" max="16" width="43" style="62" customWidth="1"/>
    <col min="17" max="17" width="28.28515625" style="1" customWidth="1"/>
    <col min="18" max="18" width="40.7109375" style="1" customWidth="1"/>
    <col min="19" max="19" width="9.140625" style="1" customWidth="1"/>
  </cols>
  <sheetData>
    <row r="1" spans="2:19" ht="13.5" thickBot="1" x14ac:dyDescent="0.25">
      <c r="D1" s="37"/>
      <c r="E1" s="37"/>
      <c r="F1" s="37"/>
      <c r="G1" s="37"/>
      <c r="H1" s="37"/>
      <c r="I1" s="37"/>
      <c r="J1" s="38"/>
      <c r="K1" s="38"/>
      <c r="L1" s="37"/>
      <c r="M1" s="37"/>
      <c r="O1" s="37"/>
      <c r="Q1" s="37"/>
      <c r="R1" s="37"/>
      <c r="S1" s="37"/>
    </row>
    <row r="2" spans="2:19" ht="54" customHeight="1" thickBot="1" x14ac:dyDescent="0.25">
      <c r="B2" s="77" t="s">
        <v>332</v>
      </c>
      <c r="C2" s="78"/>
      <c r="D2" s="78"/>
      <c r="E2" s="78"/>
      <c r="F2" s="78"/>
      <c r="G2" s="78"/>
      <c r="H2" s="78"/>
      <c r="I2" s="78"/>
      <c r="J2" s="78"/>
      <c r="K2" s="78"/>
      <c r="L2" s="78"/>
      <c r="M2" s="78"/>
      <c r="N2" s="78"/>
      <c r="O2" s="78"/>
      <c r="P2" s="78"/>
      <c r="Q2" s="78"/>
      <c r="R2" s="79"/>
      <c r="S2" s="37"/>
    </row>
    <row r="3" spans="2:19" x14ac:dyDescent="0.2">
      <c r="B3" s="39" t="s">
        <v>10</v>
      </c>
      <c r="C3" s="40"/>
      <c r="D3" s="40"/>
      <c r="E3" s="40"/>
      <c r="F3" s="40"/>
      <c r="G3" s="40"/>
      <c r="H3" s="40"/>
      <c r="I3" s="40"/>
      <c r="J3" s="41"/>
      <c r="K3" s="41"/>
      <c r="L3" s="40"/>
      <c r="M3" s="40"/>
      <c r="N3" s="40"/>
      <c r="O3" s="40"/>
      <c r="P3" s="40"/>
      <c r="Q3" s="40"/>
      <c r="R3" s="42"/>
    </row>
    <row r="4" spans="2:19" x14ac:dyDescent="0.2">
      <c r="B4" s="43"/>
      <c r="C4" s="44"/>
      <c r="D4" s="44"/>
      <c r="E4" s="44"/>
      <c r="F4" s="44"/>
      <c r="G4" s="44"/>
      <c r="H4" s="44"/>
      <c r="I4" s="44"/>
      <c r="J4" s="45"/>
      <c r="K4" s="45"/>
      <c r="L4" s="44"/>
      <c r="M4" s="44"/>
      <c r="N4" s="44"/>
      <c r="O4" s="44"/>
      <c r="P4" s="44"/>
      <c r="Q4" s="44"/>
      <c r="R4" s="46"/>
    </row>
    <row r="5" spans="2:19" ht="13.5" thickBot="1" x14ac:dyDescent="0.25">
      <c r="B5" s="43"/>
      <c r="C5" s="44"/>
      <c r="D5" s="44"/>
      <c r="E5" s="44"/>
      <c r="F5" s="44"/>
      <c r="G5" s="44"/>
      <c r="H5" s="44"/>
      <c r="I5" s="44"/>
      <c r="J5" s="45"/>
      <c r="K5" s="45"/>
      <c r="L5" s="44"/>
      <c r="M5" s="44"/>
      <c r="N5" s="44"/>
      <c r="O5" s="44"/>
      <c r="P5" s="44"/>
      <c r="Q5" s="44"/>
      <c r="R5" s="46"/>
    </row>
    <row r="6" spans="2:19" ht="39" thickBot="1" x14ac:dyDescent="0.25">
      <c r="B6" s="64" t="s">
        <v>11</v>
      </c>
      <c r="C6" s="63" t="s">
        <v>12</v>
      </c>
      <c r="D6" s="63" t="s">
        <v>13</v>
      </c>
      <c r="E6" s="63" t="s">
        <v>14</v>
      </c>
      <c r="F6" s="63" t="s">
        <v>15</v>
      </c>
      <c r="G6" s="63" t="s">
        <v>2</v>
      </c>
      <c r="H6" s="63" t="s">
        <v>1</v>
      </c>
      <c r="I6" s="63" t="s">
        <v>4</v>
      </c>
      <c r="J6" s="75" t="s">
        <v>16</v>
      </c>
      <c r="K6" s="75" t="s">
        <v>17</v>
      </c>
      <c r="L6" s="63" t="s">
        <v>7</v>
      </c>
      <c r="M6" s="63" t="s">
        <v>5</v>
      </c>
      <c r="N6" s="63" t="s">
        <v>18</v>
      </c>
      <c r="O6" s="49" t="s">
        <v>0</v>
      </c>
      <c r="P6" s="63" t="s">
        <v>19</v>
      </c>
      <c r="Q6" s="49" t="s">
        <v>20</v>
      </c>
      <c r="R6" s="50" t="s">
        <v>21</v>
      </c>
    </row>
    <row r="7" spans="2:19" ht="38.25" x14ac:dyDescent="0.2">
      <c r="B7" s="47" t="s">
        <v>88</v>
      </c>
      <c r="C7" s="48" t="s">
        <v>38</v>
      </c>
      <c r="D7" s="31">
        <v>1</v>
      </c>
      <c r="E7" s="31">
        <v>2</v>
      </c>
      <c r="F7" s="31">
        <v>2</v>
      </c>
      <c r="G7" s="31">
        <v>1</v>
      </c>
      <c r="H7" s="17" t="s">
        <v>6</v>
      </c>
      <c r="I7" s="31">
        <v>0</v>
      </c>
      <c r="J7" s="8">
        <f>12396000*2</f>
        <v>24792000</v>
      </c>
      <c r="K7" s="8">
        <f>+(J7/F7)*(13-E7)</f>
        <v>136356000</v>
      </c>
      <c r="L7" s="31">
        <v>0</v>
      </c>
      <c r="M7" s="31">
        <v>0</v>
      </c>
      <c r="N7" s="76" t="s">
        <v>26</v>
      </c>
      <c r="O7" s="17" t="s">
        <v>3</v>
      </c>
      <c r="P7" s="17" t="s">
        <v>30</v>
      </c>
      <c r="Q7" s="31" t="s">
        <v>89</v>
      </c>
      <c r="R7" s="51" t="s">
        <v>37</v>
      </c>
    </row>
    <row r="8" spans="2:19" ht="25.5" x14ac:dyDescent="0.2">
      <c r="B8" s="3" t="s">
        <v>90</v>
      </c>
      <c r="C8" s="4" t="s">
        <v>91</v>
      </c>
      <c r="D8" s="5">
        <v>6</v>
      </c>
      <c r="E8" s="5">
        <v>7</v>
      </c>
      <c r="F8" s="5">
        <v>4</v>
      </c>
      <c r="G8" s="5">
        <v>1</v>
      </c>
      <c r="H8" s="6" t="s">
        <v>6</v>
      </c>
      <c r="I8" s="5">
        <v>0</v>
      </c>
      <c r="J8" s="7">
        <f>15000000*4</f>
        <v>60000000</v>
      </c>
      <c r="K8" s="8">
        <f>+(J8/F8)*(13-E8)</f>
        <v>90000000</v>
      </c>
      <c r="L8" s="5">
        <v>0</v>
      </c>
      <c r="M8" s="5">
        <v>0</v>
      </c>
      <c r="N8" s="18" t="s">
        <v>26</v>
      </c>
      <c r="O8" s="6" t="s">
        <v>3</v>
      </c>
      <c r="P8" s="6" t="s">
        <v>30</v>
      </c>
      <c r="Q8" s="5" t="s">
        <v>89</v>
      </c>
      <c r="R8" s="52" t="s">
        <v>37</v>
      </c>
    </row>
    <row r="9" spans="2:19" ht="25.5" x14ac:dyDescent="0.2">
      <c r="B9" s="3" t="s">
        <v>92</v>
      </c>
      <c r="C9" s="9" t="s">
        <v>93</v>
      </c>
      <c r="D9" s="5">
        <v>3</v>
      </c>
      <c r="E9" s="5">
        <v>4</v>
      </c>
      <c r="F9" s="5">
        <v>3</v>
      </c>
      <c r="G9" s="5">
        <v>1</v>
      </c>
      <c r="H9" s="6" t="s">
        <v>6</v>
      </c>
      <c r="I9" s="5">
        <v>0</v>
      </c>
      <c r="J9" s="7">
        <v>16000000</v>
      </c>
      <c r="K9" s="7">
        <v>16000000</v>
      </c>
      <c r="L9" s="5">
        <v>0</v>
      </c>
      <c r="M9" s="5">
        <v>0</v>
      </c>
      <c r="N9" s="18" t="s">
        <v>26</v>
      </c>
      <c r="O9" s="6" t="s">
        <v>3</v>
      </c>
      <c r="P9" s="10" t="s">
        <v>94</v>
      </c>
      <c r="Q9" s="5">
        <v>3204948379</v>
      </c>
      <c r="R9" s="52" t="s">
        <v>95</v>
      </c>
    </row>
    <row r="10" spans="2:19" ht="25.5" x14ac:dyDescent="0.2">
      <c r="B10" s="3" t="s">
        <v>96</v>
      </c>
      <c r="C10" s="4" t="s">
        <v>97</v>
      </c>
      <c r="D10" s="5">
        <v>6</v>
      </c>
      <c r="E10" s="5">
        <v>7</v>
      </c>
      <c r="F10" s="5">
        <v>4</v>
      </c>
      <c r="G10" s="5">
        <v>1</v>
      </c>
      <c r="H10" s="6" t="s">
        <v>6</v>
      </c>
      <c r="I10" s="5">
        <v>0</v>
      </c>
      <c r="J10" s="7">
        <f>5165000*4</f>
        <v>20660000</v>
      </c>
      <c r="K10" s="7">
        <f t="shared" ref="K10:K21" si="0">+(J10/F10)*(13-E10)</f>
        <v>30990000</v>
      </c>
      <c r="L10" s="5">
        <v>0</v>
      </c>
      <c r="M10" s="5">
        <v>0</v>
      </c>
      <c r="N10" s="18" t="s">
        <v>26</v>
      </c>
      <c r="O10" s="6" t="s">
        <v>3</v>
      </c>
      <c r="P10" s="6" t="s">
        <v>30</v>
      </c>
      <c r="Q10" s="5" t="s">
        <v>89</v>
      </c>
      <c r="R10" s="52" t="s">
        <v>37</v>
      </c>
    </row>
    <row r="11" spans="2:19" ht="25.5" x14ac:dyDescent="0.2">
      <c r="B11" s="3" t="s">
        <v>98</v>
      </c>
      <c r="C11" s="9" t="s">
        <v>99</v>
      </c>
      <c r="D11" s="5">
        <v>2</v>
      </c>
      <c r="E11" s="5">
        <v>2</v>
      </c>
      <c r="F11" s="5">
        <v>2</v>
      </c>
      <c r="G11" s="5">
        <v>1</v>
      </c>
      <c r="H11" s="6" t="s">
        <v>6</v>
      </c>
      <c r="I11" s="5">
        <v>0</v>
      </c>
      <c r="J11" s="7">
        <f>250000000*2</f>
        <v>500000000</v>
      </c>
      <c r="K11" s="7">
        <f t="shared" si="0"/>
        <v>2750000000</v>
      </c>
      <c r="L11" s="5">
        <v>0</v>
      </c>
      <c r="M11" s="5">
        <v>0</v>
      </c>
      <c r="N11" s="18" t="s">
        <v>26</v>
      </c>
      <c r="O11" s="6" t="s">
        <v>3</v>
      </c>
      <c r="P11" s="6" t="s">
        <v>30</v>
      </c>
      <c r="Q11" s="5">
        <v>3006589235</v>
      </c>
      <c r="R11" s="52" t="s">
        <v>74</v>
      </c>
    </row>
    <row r="12" spans="2:19" ht="38.25" x14ac:dyDescent="0.2">
      <c r="B12" s="3" t="s">
        <v>90</v>
      </c>
      <c r="C12" s="11" t="s">
        <v>100</v>
      </c>
      <c r="D12" s="5">
        <v>4</v>
      </c>
      <c r="E12" s="5">
        <v>5</v>
      </c>
      <c r="F12" s="5">
        <v>4</v>
      </c>
      <c r="G12" s="5">
        <v>1</v>
      </c>
      <c r="H12" s="6" t="s">
        <v>6</v>
      </c>
      <c r="I12" s="5">
        <v>0</v>
      </c>
      <c r="J12" s="7">
        <f>611000000*4</f>
        <v>2444000000</v>
      </c>
      <c r="K12" s="7">
        <f t="shared" si="0"/>
        <v>4888000000</v>
      </c>
      <c r="L12" s="5">
        <v>0</v>
      </c>
      <c r="M12" s="5">
        <v>0</v>
      </c>
      <c r="N12" s="18" t="s">
        <v>26</v>
      </c>
      <c r="O12" s="6" t="s">
        <v>3</v>
      </c>
      <c r="P12" s="6" t="s">
        <v>30</v>
      </c>
      <c r="Q12" s="5">
        <v>3202352178</v>
      </c>
      <c r="R12" s="52" t="s">
        <v>101</v>
      </c>
    </row>
    <row r="13" spans="2:19" ht="25.5" x14ac:dyDescent="0.2">
      <c r="B13" s="3" t="s">
        <v>102</v>
      </c>
      <c r="C13" s="9" t="s">
        <v>103</v>
      </c>
      <c r="D13" s="5">
        <v>2</v>
      </c>
      <c r="E13" s="5">
        <v>3</v>
      </c>
      <c r="F13" s="5">
        <v>4</v>
      </c>
      <c r="G13" s="5">
        <v>1</v>
      </c>
      <c r="H13" s="6" t="s">
        <v>6</v>
      </c>
      <c r="I13" s="5">
        <v>0</v>
      </c>
      <c r="J13" s="7">
        <v>40000000</v>
      </c>
      <c r="K13" s="7">
        <f t="shared" si="0"/>
        <v>100000000</v>
      </c>
      <c r="L13" s="5">
        <v>0</v>
      </c>
      <c r="M13" s="5">
        <v>0</v>
      </c>
      <c r="N13" s="18" t="s">
        <v>26</v>
      </c>
      <c r="O13" s="6" t="s">
        <v>3</v>
      </c>
      <c r="P13" s="6" t="s">
        <v>30</v>
      </c>
      <c r="Q13" s="5">
        <v>3202352178</v>
      </c>
      <c r="R13" s="52" t="s">
        <v>101</v>
      </c>
    </row>
    <row r="14" spans="2:19" ht="38.25" x14ac:dyDescent="0.2">
      <c r="B14" s="3" t="s">
        <v>104</v>
      </c>
      <c r="C14" s="9" t="s">
        <v>105</v>
      </c>
      <c r="D14" s="5">
        <v>9</v>
      </c>
      <c r="E14" s="5">
        <v>10</v>
      </c>
      <c r="F14" s="5">
        <v>3</v>
      </c>
      <c r="G14" s="5">
        <v>1</v>
      </c>
      <c r="H14" s="6" t="s">
        <v>6</v>
      </c>
      <c r="I14" s="5">
        <v>0</v>
      </c>
      <c r="J14" s="7">
        <f>9000000*F14</f>
        <v>27000000</v>
      </c>
      <c r="K14" s="7">
        <f t="shared" si="0"/>
        <v>27000000</v>
      </c>
      <c r="L14" s="5">
        <v>0</v>
      </c>
      <c r="M14" s="5">
        <v>0</v>
      </c>
      <c r="N14" s="18" t="s">
        <v>26</v>
      </c>
      <c r="O14" s="6" t="s">
        <v>3</v>
      </c>
      <c r="P14" s="6" t="s">
        <v>30</v>
      </c>
      <c r="Q14" s="5">
        <v>3202352178</v>
      </c>
      <c r="R14" s="52" t="s">
        <v>101</v>
      </c>
    </row>
    <row r="15" spans="2:19" ht="38.25" x14ac:dyDescent="0.2">
      <c r="B15" s="3" t="s">
        <v>32</v>
      </c>
      <c r="C15" s="9" t="s">
        <v>33</v>
      </c>
      <c r="D15" s="5">
        <v>1</v>
      </c>
      <c r="E15" s="5">
        <v>1</v>
      </c>
      <c r="F15" s="5">
        <v>3</v>
      </c>
      <c r="G15" s="5">
        <v>1</v>
      </c>
      <c r="H15" s="6" t="s">
        <v>6</v>
      </c>
      <c r="I15" s="5">
        <v>0</v>
      </c>
      <c r="J15" s="7">
        <v>60000000</v>
      </c>
      <c r="K15" s="7">
        <f t="shared" si="0"/>
        <v>240000000</v>
      </c>
      <c r="L15" s="5">
        <v>0</v>
      </c>
      <c r="M15" s="5">
        <v>0</v>
      </c>
      <c r="N15" s="18" t="s">
        <v>26</v>
      </c>
      <c r="O15" s="6" t="s">
        <v>3</v>
      </c>
      <c r="P15" s="6" t="s">
        <v>30</v>
      </c>
      <c r="Q15" s="5">
        <v>3002074094</v>
      </c>
      <c r="R15" s="52" t="s">
        <v>35</v>
      </c>
    </row>
    <row r="16" spans="2:19" ht="38.25" x14ac:dyDescent="0.2">
      <c r="B16" s="3" t="s">
        <v>106</v>
      </c>
      <c r="C16" s="9" t="s">
        <v>107</v>
      </c>
      <c r="D16" s="5">
        <v>10</v>
      </c>
      <c r="E16" s="5">
        <v>11</v>
      </c>
      <c r="F16" s="5">
        <v>3</v>
      </c>
      <c r="G16" s="5">
        <v>1</v>
      </c>
      <c r="H16" s="6" t="s">
        <v>6</v>
      </c>
      <c r="I16" s="5">
        <v>0</v>
      </c>
      <c r="J16" s="7">
        <v>30000000</v>
      </c>
      <c r="K16" s="7">
        <f t="shared" si="0"/>
        <v>20000000</v>
      </c>
      <c r="L16" s="5">
        <v>0</v>
      </c>
      <c r="M16" s="5">
        <v>0</v>
      </c>
      <c r="N16" s="18" t="s">
        <v>26</v>
      </c>
      <c r="O16" s="6" t="s">
        <v>3</v>
      </c>
      <c r="P16" s="6" t="s">
        <v>30</v>
      </c>
      <c r="Q16" s="5">
        <v>3002074094</v>
      </c>
      <c r="R16" s="52" t="s">
        <v>35</v>
      </c>
    </row>
    <row r="17" spans="2:18" ht="25.5" x14ac:dyDescent="0.2">
      <c r="B17" s="3" t="s">
        <v>108</v>
      </c>
      <c r="C17" s="9" t="s">
        <v>109</v>
      </c>
      <c r="D17" s="5">
        <v>5</v>
      </c>
      <c r="E17" s="5">
        <v>6</v>
      </c>
      <c r="F17" s="5">
        <v>4</v>
      </c>
      <c r="G17" s="5">
        <v>1</v>
      </c>
      <c r="H17" s="6" t="s">
        <v>6</v>
      </c>
      <c r="I17" s="5">
        <v>0</v>
      </c>
      <c r="J17" s="7">
        <v>16000000</v>
      </c>
      <c r="K17" s="7">
        <f t="shared" si="0"/>
        <v>28000000</v>
      </c>
      <c r="L17" s="5">
        <v>0</v>
      </c>
      <c r="M17" s="5">
        <v>0</v>
      </c>
      <c r="N17" s="18" t="s">
        <v>26</v>
      </c>
      <c r="O17" s="6" t="s">
        <v>3</v>
      </c>
      <c r="P17" s="6" t="s">
        <v>30</v>
      </c>
      <c r="Q17" s="5">
        <v>3002074094</v>
      </c>
      <c r="R17" s="52" t="s">
        <v>35</v>
      </c>
    </row>
    <row r="18" spans="2:18" ht="38.25" x14ac:dyDescent="0.2">
      <c r="B18" s="3" t="s">
        <v>80</v>
      </c>
      <c r="C18" s="9" t="s">
        <v>110</v>
      </c>
      <c r="D18" s="5">
        <v>4</v>
      </c>
      <c r="E18" s="5">
        <v>5</v>
      </c>
      <c r="F18" s="5">
        <v>4</v>
      </c>
      <c r="G18" s="5">
        <v>1</v>
      </c>
      <c r="H18" s="6" t="s">
        <v>6</v>
      </c>
      <c r="I18" s="5">
        <v>0</v>
      </c>
      <c r="J18" s="7">
        <f>10650000*4</f>
        <v>42600000</v>
      </c>
      <c r="K18" s="7">
        <f t="shared" si="0"/>
        <v>85200000</v>
      </c>
      <c r="L18" s="5">
        <v>0</v>
      </c>
      <c r="M18" s="5">
        <v>0</v>
      </c>
      <c r="N18" s="18" t="s">
        <v>26</v>
      </c>
      <c r="O18" s="6" t="s">
        <v>3</v>
      </c>
      <c r="P18" s="6" t="s">
        <v>30</v>
      </c>
      <c r="Q18" s="5">
        <v>3002074094</v>
      </c>
      <c r="R18" s="52" t="s">
        <v>35</v>
      </c>
    </row>
    <row r="19" spans="2:18" ht="25.5" x14ac:dyDescent="0.2">
      <c r="B19" s="3" t="s">
        <v>54</v>
      </c>
      <c r="C19" s="12" t="s">
        <v>111</v>
      </c>
      <c r="D19" s="5">
        <v>4</v>
      </c>
      <c r="E19" s="5">
        <v>5</v>
      </c>
      <c r="F19" s="5">
        <v>4</v>
      </c>
      <c r="G19" s="5">
        <v>1</v>
      </c>
      <c r="H19" s="6" t="s">
        <v>6</v>
      </c>
      <c r="I19" s="5">
        <v>0</v>
      </c>
      <c r="J19" s="7">
        <v>16608594</v>
      </c>
      <c r="K19" s="7">
        <f t="shared" si="0"/>
        <v>33217188</v>
      </c>
      <c r="L19" s="5">
        <v>0</v>
      </c>
      <c r="M19" s="5">
        <v>0</v>
      </c>
      <c r="N19" s="18" t="s">
        <v>26</v>
      </c>
      <c r="O19" s="6" t="s">
        <v>3</v>
      </c>
      <c r="P19" s="6" t="s">
        <v>30</v>
      </c>
      <c r="Q19" s="5">
        <v>3138686229</v>
      </c>
      <c r="R19" s="52" t="s">
        <v>112</v>
      </c>
    </row>
    <row r="20" spans="2:18" ht="51" x14ac:dyDescent="0.2">
      <c r="B20" s="3" t="s">
        <v>80</v>
      </c>
      <c r="C20" s="9" t="s">
        <v>113</v>
      </c>
      <c r="D20" s="5">
        <v>4</v>
      </c>
      <c r="E20" s="5">
        <v>5</v>
      </c>
      <c r="F20" s="5">
        <v>4</v>
      </c>
      <c r="G20" s="5">
        <v>1</v>
      </c>
      <c r="H20" s="6" t="s">
        <v>6</v>
      </c>
      <c r="I20" s="5">
        <v>0</v>
      </c>
      <c r="J20" s="7">
        <v>49724962</v>
      </c>
      <c r="K20" s="7">
        <f t="shared" si="0"/>
        <v>99449924</v>
      </c>
      <c r="L20" s="5">
        <v>0</v>
      </c>
      <c r="M20" s="5">
        <v>0</v>
      </c>
      <c r="N20" s="18" t="s">
        <v>26</v>
      </c>
      <c r="O20" s="6" t="s">
        <v>3</v>
      </c>
      <c r="P20" s="6" t="s">
        <v>30</v>
      </c>
      <c r="Q20" s="5">
        <v>3138686229</v>
      </c>
      <c r="R20" s="52" t="s">
        <v>112</v>
      </c>
    </row>
    <row r="21" spans="2:18" ht="25.5" x14ac:dyDescent="0.2">
      <c r="B21" s="3" t="s">
        <v>80</v>
      </c>
      <c r="C21" s="9" t="s">
        <v>114</v>
      </c>
      <c r="D21" s="5">
        <v>9</v>
      </c>
      <c r="E21" s="5">
        <v>10</v>
      </c>
      <c r="F21" s="5">
        <v>3</v>
      </c>
      <c r="G21" s="5">
        <v>1</v>
      </c>
      <c r="H21" s="6" t="s">
        <v>6</v>
      </c>
      <c r="I21" s="5">
        <v>0</v>
      </c>
      <c r="J21" s="7">
        <f>10000000*F21</f>
        <v>30000000</v>
      </c>
      <c r="K21" s="7">
        <f t="shared" si="0"/>
        <v>30000000</v>
      </c>
      <c r="L21" s="5">
        <v>0</v>
      </c>
      <c r="M21" s="5">
        <v>0</v>
      </c>
      <c r="N21" s="18" t="s">
        <v>26</v>
      </c>
      <c r="O21" s="6" t="s">
        <v>3</v>
      </c>
      <c r="P21" s="6" t="s">
        <v>30</v>
      </c>
      <c r="Q21" s="5">
        <v>3138686229</v>
      </c>
      <c r="R21" s="52" t="s">
        <v>112</v>
      </c>
    </row>
    <row r="22" spans="2:18" ht="25.5" x14ac:dyDescent="0.2">
      <c r="B22" s="3" t="s">
        <v>115</v>
      </c>
      <c r="C22" s="9" t="s">
        <v>116</v>
      </c>
      <c r="D22" s="5">
        <v>4</v>
      </c>
      <c r="E22" s="5">
        <v>5</v>
      </c>
      <c r="F22" s="5">
        <v>2</v>
      </c>
      <c r="G22" s="5">
        <v>1</v>
      </c>
      <c r="H22" s="6" t="s">
        <v>6</v>
      </c>
      <c r="I22" s="5">
        <v>0</v>
      </c>
      <c r="J22" s="7">
        <v>50000000</v>
      </c>
      <c r="K22" s="7">
        <f>J22</f>
        <v>50000000</v>
      </c>
      <c r="L22" s="5">
        <v>0</v>
      </c>
      <c r="M22" s="5">
        <v>0</v>
      </c>
      <c r="N22" s="18" t="s">
        <v>26</v>
      </c>
      <c r="O22" s="6" t="s">
        <v>3</v>
      </c>
      <c r="P22" s="6" t="s">
        <v>30</v>
      </c>
      <c r="Q22" s="5">
        <v>3006589235</v>
      </c>
      <c r="R22" s="52" t="s">
        <v>74</v>
      </c>
    </row>
    <row r="23" spans="2:18" ht="38.25" x14ac:dyDescent="0.2">
      <c r="B23" s="3" t="s">
        <v>117</v>
      </c>
      <c r="C23" s="9" t="s">
        <v>118</v>
      </c>
      <c r="D23" s="5">
        <v>8</v>
      </c>
      <c r="E23" s="5">
        <v>9</v>
      </c>
      <c r="F23" s="5">
        <v>4</v>
      </c>
      <c r="G23" s="5">
        <v>1</v>
      </c>
      <c r="H23" s="6" t="s">
        <v>6</v>
      </c>
      <c r="I23" s="5">
        <v>0</v>
      </c>
      <c r="J23" s="7">
        <v>20000000</v>
      </c>
      <c r="K23" s="7">
        <f>+(J23/F23)*(13-E23)</f>
        <v>20000000</v>
      </c>
      <c r="L23" s="5">
        <v>0</v>
      </c>
      <c r="M23" s="5">
        <v>0</v>
      </c>
      <c r="N23" s="18" t="s">
        <v>26</v>
      </c>
      <c r="O23" s="6" t="s">
        <v>3</v>
      </c>
      <c r="P23" s="6" t="s">
        <v>30</v>
      </c>
      <c r="Q23" s="5">
        <v>3182653800</v>
      </c>
      <c r="R23" s="52" t="s">
        <v>119</v>
      </c>
    </row>
    <row r="24" spans="2:18" ht="25.5" x14ac:dyDescent="0.2">
      <c r="B24" s="3" t="s">
        <v>117</v>
      </c>
      <c r="C24" s="9" t="s">
        <v>120</v>
      </c>
      <c r="D24" s="5">
        <v>2</v>
      </c>
      <c r="E24" s="5">
        <v>3</v>
      </c>
      <c r="F24" s="5">
        <v>4</v>
      </c>
      <c r="G24" s="5">
        <v>1</v>
      </c>
      <c r="H24" s="6" t="s">
        <v>6</v>
      </c>
      <c r="I24" s="5">
        <v>0</v>
      </c>
      <c r="J24" s="7">
        <v>35000000</v>
      </c>
      <c r="K24" s="7">
        <f>+(J24/F24)*(13-E24)</f>
        <v>87500000</v>
      </c>
      <c r="L24" s="5">
        <v>0</v>
      </c>
      <c r="M24" s="5">
        <v>0</v>
      </c>
      <c r="N24" s="18" t="s">
        <v>26</v>
      </c>
      <c r="O24" s="6" t="s">
        <v>3</v>
      </c>
      <c r="P24" s="6" t="s">
        <v>30</v>
      </c>
      <c r="Q24" s="5">
        <v>3182653800</v>
      </c>
      <c r="R24" s="52" t="s">
        <v>119</v>
      </c>
    </row>
    <row r="25" spans="2:18" ht="25.5" x14ac:dyDescent="0.2">
      <c r="B25" s="3" t="s">
        <v>121</v>
      </c>
      <c r="C25" s="9" t="s">
        <v>122</v>
      </c>
      <c r="D25" s="5">
        <v>4</v>
      </c>
      <c r="E25" s="5">
        <v>5</v>
      </c>
      <c r="F25" s="5">
        <v>4</v>
      </c>
      <c r="G25" s="5">
        <v>1</v>
      </c>
      <c r="H25" s="6" t="s">
        <v>6</v>
      </c>
      <c r="I25" s="5">
        <v>0</v>
      </c>
      <c r="J25" s="7">
        <v>72000000</v>
      </c>
      <c r="K25" s="7">
        <f>+(J25/F25)*(13-E25)</f>
        <v>144000000</v>
      </c>
      <c r="L25" s="5">
        <v>0</v>
      </c>
      <c r="M25" s="5">
        <v>0</v>
      </c>
      <c r="N25" s="18" t="s">
        <v>26</v>
      </c>
      <c r="O25" s="6" t="s">
        <v>3</v>
      </c>
      <c r="P25" s="6" t="s">
        <v>30</v>
      </c>
      <c r="Q25" s="5">
        <v>3182653800</v>
      </c>
      <c r="R25" s="52" t="s">
        <v>119</v>
      </c>
    </row>
    <row r="26" spans="2:18" ht="63.75" x14ac:dyDescent="0.2">
      <c r="B26" s="3" t="s">
        <v>123</v>
      </c>
      <c r="C26" s="9" t="s">
        <v>124</v>
      </c>
      <c r="D26" s="5">
        <v>4</v>
      </c>
      <c r="E26" s="5">
        <v>5</v>
      </c>
      <c r="F26" s="5">
        <v>4</v>
      </c>
      <c r="G26" s="5">
        <v>1</v>
      </c>
      <c r="H26" s="6" t="s">
        <v>6</v>
      </c>
      <c r="I26" s="5">
        <v>0</v>
      </c>
      <c r="J26" s="7">
        <f>748735227*4</f>
        <v>2994940908</v>
      </c>
      <c r="K26" s="7">
        <f>+(J26/F26)*(13-E26)</f>
        <v>5989881816</v>
      </c>
      <c r="L26" s="5">
        <v>0</v>
      </c>
      <c r="M26" s="5">
        <v>0</v>
      </c>
      <c r="N26" s="18" t="s">
        <v>26</v>
      </c>
      <c r="O26" s="6" t="s">
        <v>3</v>
      </c>
      <c r="P26" s="6" t="s">
        <v>30</v>
      </c>
      <c r="Q26" s="5">
        <v>3006930361</v>
      </c>
      <c r="R26" s="52" t="s">
        <v>125</v>
      </c>
    </row>
    <row r="27" spans="2:18" ht="25.5" x14ac:dyDescent="0.2">
      <c r="B27" s="3" t="s">
        <v>44</v>
      </c>
      <c r="C27" s="9" t="s">
        <v>45</v>
      </c>
      <c r="D27" s="5">
        <v>1</v>
      </c>
      <c r="E27" s="5">
        <v>2</v>
      </c>
      <c r="F27" s="5">
        <v>2</v>
      </c>
      <c r="G27" s="5">
        <v>1</v>
      </c>
      <c r="H27" s="6" t="s">
        <v>6</v>
      </c>
      <c r="I27" s="5">
        <v>0</v>
      </c>
      <c r="J27" s="7">
        <v>200000000</v>
      </c>
      <c r="K27" s="7">
        <v>200000000</v>
      </c>
      <c r="L27" s="5">
        <v>0</v>
      </c>
      <c r="M27" s="5">
        <v>0</v>
      </c>
      <c r="N27" s="18" t="s">
        <v>26</v>
      </c>
      <c r="O27" s="6" t="s">
        <v>3</v>
      </c>
      <c r="P27" s="6" t="s">
        <v>30</v>
      </c>
      <c r="Q27" s="6" t="s">
        <v>46</v>
      </c>
      <c r="R27" s="53" t="s">
        <v>47</v>
      </c>
    </row>
    <row r="28" spans="2:18" ht="25.5" x14ac:dyDescent="0.2">
      <c r="B28" s="3" t="s">
        <v>126</v>
      </c>
      <c r="C28" s="9" t="s">
        <v>127</v>
      </c>
      <c r="D28" s="5">
        <v>3</v>
      </c>
      <c r="E28" s="5">
        <v>4</v>
      </c>
      <c r="F28" s="5">
        <v>4</v>
      </c>
      <c r="G28" s="5">
        <v>1</v>
      </c>
      <c r="H28" s="6" t="s">
        <v>6</v>
      </c>
      <c r="I28" s="5">
        <v>0</v>
      </c>
      <c r="J28" s="7">
        <f>25000000*F28</f>
        <v>100000000</v>
      </c>
      <c r="K28" s="7">
        <f>+(J28/F28)*(13-E28)</f>
        <v>225000000</v>
      </c>
      <c r="L28" s="5">
        <v>0</v>
      </c>
      <c r="M28" s="5">
        <v>0</v>
      </c>
      <c r="N28" s="18" t="s">
        <v>26</v>
      </c>
      <c r="O28" s="6" t="s">
        <v>3</v>
      </c>
      <c r="P28" s="6" t="s">
        <v>30</v>
      </c>
      <c r="Q28" s="5">
        <v>3182653800</v>
      </c>
      <c r="R28" s="52" t="s">
        <v>119</v>
      </c>
    </row>
    <row r="29" spans="2:18" ht="25.5" x14ac:dyDescent="0.2">
      <c r="B29" s="3" t="s">
        <v>128</v>
      </c>
      <c r="C29" s="9" t="s">
        <v>129</v>
      </c>
      <c r="D29" s="5">
        <v>2</v>
      </c>
      <c r="E29" s="5">
        <v>2</v>
      </c>
      <c r="F29" s="5">
        <v>2</v>
      </c>
      <c r="G29" s="5">
        <v>1</v>
      </c>
      <c r="H29" s="6" t="s">
        <v>6</v>
      </c>
      <c r="I29" s="5">
        <v>0</v>
      </c>
      <c r="J29" s="7">
        <v>4000000</v>
      </c>
      <c r="K29" s="7">
        <v>4000000</v>
      </c>
      <c r="L29" s="5">
        <v>0</v>
      </c>
      <c r="M29" s="5">
        <v>0</v>
      </c>
      <c r="N29" s="18" t="s">
        <v>26</v>
      </c>
      <c r="O29" s="6" t="s">
        <v>3</v>
      </c>
      <c r="P29" s="6" t="s">
        <v>30</v>
      </c>
      <c r="Q29" s="5">
        <v>3182653800</v>
      </c>
      <c r="R29" s="52" t="s">
        <v>119</v>
      </c>
    </row>
    <row r="30" spans="2:18" ht="25.5" x14ac:dyDescent="0.2">
      <c r="B30" s="3" t="s">
        <v>130</v>
      </c>
      <c r="C30" s="9" t="s">
        <v>131</v>
      </c>
      <c r="D30" s="5">
        <v>5</v>
      </c>
      <c r="E30" s="5">
        <v>6</v>
      </c>
      <c r="F30" s="5">
        <v>4</v>
      </c>
      <c r="G30" s="5">
        <v>1</v>
      </c>
      <c r="H30" s="6" t="s">
        <v>6</v>
      </c>
      <c r="I30" s="5">
        <v>0</v>
      </c>
      <c r="J30" s="7">
        <f>93000000*4</f>
        <v>372000000</v>
      </c>
      <c r="K30" s="7">
        <f>+(J30/F30)*(13-E30)</f>
        <v>651000000</v>
      </c>
      <c r="L30" s="5">
        <v>0</v>
      </c>
      <c r="M30" s="5">
        <v>0</v>
      </c>
      <c r="N30" s="18" t="s">
        <v>26</v>
      </c>
      <c r="O30" s="6" t="s">
        <v>3</v>
      </c>
      <c r="P30" s="6" t="s">
        <v>30</v>
      </c>
      <c r="Q30" s="5">
        <v>3182653800</v>
      </c>
      <c r="R30" s="52" t="s">
        <v>119</v>
      </c>
    </row>
    <row r="31" spans="2:18" ht="25.5" x14ac:dyDescent="0.2">
      <c r="B31" s="3" t="s">
        <v>132</v>
      </c>
      <c r="C31" s="9" t="s">
        <v>133</v>
      </c>
      <c r="D31" s="5">
        <v>6</v>
      </c>
      <c r="E31" s="5">
        <v>7</v>
      </c>
      <c r="F31" s="5">
        <v>4</v>
      </c>
      <c r="G31" s="5">
        <v>1</v>
      </c>
      <c r="H31" s="6" t="s">
        <v>6</v>
      </c>
      <c r="I31" s="5">
        <v>0</v>
      </c>
      <c r="J31" s="7">
        <v>160000000</v>
      </c>
      <c r="K31" s="7">
        <f>J31</f>
        <v>160000000</v>
      </c>
      <c r="L31" s="5">
        <v>0</v>
      </c>
      <c r="M31" s="5">
        <v>0</v>
      </c>
      <c r="N31" s="18" t="s">
        <v>26</v>
      </c>
      <c r="O31" s="6" t="s">
        <v>3</v>
      </c>
      <c r="P31" s="6" t="s">
        <v>30</v>
      </c>
      <c r="Q31" s="5">
        <v>3182653800</v>
      </c>
      <c r="R31" s="52" t="s">
        <v>119</v>
      </c>
    </row>
    <row r="32" spans="2:18" ht="38.25" x14ac:dyDescent="0.2">
      <c r="B32" s="3" t="s">
        <v>134</v>
      </c>
      <c r="C32" s="9" t="s">
        <v>135</v>
      </c>
      <c r="D32" s="5">
        <v>6</v>
      </c>
      <c r="E32" s="5">
        <v>7</v>
      </c>
      <c r="F32" s="5">
        <v>5</v>
      </c>
      <c r="G32" s="5">
        <v>1</v>
      </c>
      <c r="H32" s="6" t="s">
        <v>6</v>
      </c>
      <c r="I32" s="5">
        <v>0</v>
      </c>
      <c r="J32" s="7">
        <f>1800000000-768211385</f>
        <v>1031788615</v>
      </c>
      <c r="K32" s="7">
        <f t="shared" ref="K32:K37" si="1">+(J32/F32)*(13-E32)</f>
        <v>1238146338</v>
      </c>
      <c r="L32" s="5">
        <v>0</v>
      </c>
      <c r="M32" s="5">
        <v>0</v>
      </c>
      <c r="N32" s="18" t="s">
        <v>26</v>
      </c>
      <c r="O32" s="6" t="s">
        <v>3</v>
      </c>
      <c r="P32" s="6" t="s">
        <v>30</v>
      </c>
      <c r="Q32" s="5">
        <v>3208500508</v>
      </c>
      <c r="R32" s="52" t="s">
        <v>136</v>
      </c>
    </row>
    <row r="33" spans="2:18" ht="25.5" x14ac:dyDescent="0.2">
      <c r="B33" s="3" t="s">
        <v>137</v>
      </c>
      <c r="C33" s="4" t="s">
        <v>29</v>
      </c>
      <c r="D33" s="5">
        <v>1</v>
      </c>
      <c r="E33" s="5">
        <v>1</v>
      </c>
      <c r="F33" s="5">
        <v>1</v>
      </c>
      <c r="G33" s="5">
        <v>1</v>
      </c>
      <c r="H33" s="6" t="s">
        <v>6</v>
      </c>
      <c r="I33" s="5">
        <v>0</v>
      </c>
      <c r="J33" s="7">
        <v>60000000</v>
      </c>
      <c r="K33" s="7">
        <f t="shared" si="1"/>
        <v>720000000</v>
      </c>
      <c r="L33" s="5">
        <v>0</v>
      </c>
      <c r="M33" s="5">
        <v>0</v>
      </c>
      <c r="N33" s="18" t="s">
        <v>26</v>
      </c>
      <c r="O33" s="6" t="s">
        <v>3</v>
      </c>
      <c r="P33" s="6" t="s">
        <v>30</v>
      </c>
      <c r="Q33" s="5">
        <v>3108734212</v>
      </c>
      <c r="R33" s="52" t="s">
        <v>31</v>
      </c>
    </row>
    <row r="34" spans="2:18" ht="38.25" x14ac:dyDescent="0.2">
      <c r="B34" s="65" t="s">
        <v>138</v>
      </c>
      <c r="C34" s="13" t="s">
        <v>36</v>
      </c>
      <c r="D34" s="14">
        <v>1</v>
      </c>
      <c r="E34" s="14">
        <v>2</v>
      </c>
      <c r="F34" s="5">
        <v>3</v>
      </c>
      <c r="G34" s="14">
        <v>1</v>
      </c>
      <c r="H34" s="6" t="s">
        <v>6</v>
      </c>
      <c r="I34" s="5">
        <v>0</v>
      </c>
      <c r="J34" s="7">
        <f>17650794*3</f>
        <v>52952382</v>
      </c>
      <c r="K34" s="7">
        <f t="shared" si="1"/>
        <v>194158734</v>
      </c>
      <c r="L34" s="14">
        <v>0</v>
      </c>
      <c r="M34" s="14">
        <v>0</v>
      </c>
      <c r="N34" s="18" t="s">
        <v>26</v>
      </c>
      <c r="O34" s="6" t="s">
        <v>3</v>
      </c>
      <c r="P34" s="15" t="s">
        <v>30</v>
      </c>
      <c r="Q34" s="14" t="s">
        <v>89</v>
      </c>
      <c r="R34" s="54" t="s">
        <v>37</v>
      </c>
    </row>
    <row r="35" spans="2:18" x14ac:dyDescent="0.2">
      <c r="B35" s="65" t="s">
        <v>139</v>
      </c>
      <c r="C35" s="13" t="s">
        <v>140</v>
      </c>
      <c r="D35" s="14">
        <v>2</v>
      </c>
      <c r="E35" s="14">
        <v>2</v>
      </c>
      <c r="F35" s="5">
        <v>2</v>
      </c>
      <c r="G35" s="14">
        <v>1</v>
      </c>
      <c r="H35" s="6" t="s">
        <v>6</v>
      </c>
      <c r="I35" s="5">
        <v>0</v>
      </c>
      <c r="J35" s="7">
        <f>95000000*2</f>
        <v>190000000</v>
      </c>
      <c r="K35" s="7">
        <f t="shared" si="1"/>
        <v>1045000000</v>
      </c>
      <c r="L35" s="16"/>
      <c r="M35" s="14"/>
      <c r="N35" s="18"/>
      <c r="O35" s="6"/>
      <c r="P35" s="15"/>
      <c r="Q35" s="14"/>
      <c r="R35" s="54"/>
    </row>
    <row r="36" spans="2:18" x14ac:dyDescent="0.2">
      <c r="B36" s="65"/>
      <c r="C36" s="13" t="s">
        <v>141</v>
      </c>
      <c r="D36" s="14">
        <v>2</v>
      </c>
      <c r="E36" s="14">
        <v>2</v>
      </c>
      <c r="F36" s="5">
        <v>2</v>
      </c>
      <c r="G36" s="14">
        <v>1</v>
      </c>
      <c r="H36" s="6" t="s">
        <v>6</v>
      </c>
      <c r="I36" s="5">
        <v>0</v>
      </c>
      <c r="J36" s="7">
        <f>99000000*2</f>
        <v>198000000</v>
      </c>
      <c r="K36" s="7">
        <f t="shared" si="1"/>
        <v>1089000000</v>
      </c>
      <c r="L36" s="16"/>
      <c r="M36" s="14"/>
      <c r="N36" s="18"/>
      <c r="O36" s="6"/>
      <c r="P36" s="15"/>
      <c r="Q36" s="14"/>
      <c r="R36" s="54"/>
    </row>
    <row r="37" spans="2:18" ht="25.5" x14ac:dyDescent="0.2">
      <c r="B37" s="3" t="s">
        <v>139</v>
      </c>
      <c r="C37" s="4" t="s">
        <v>142</v>
      </c>
      <c r="D37" s="5">
        <v>3</v>
      </c>
      <c r="E37" s="5">
        <v>4</v>
      </c>
      <c r="F37" s="5">
        <v>2</v>
      </c>
      <c r="G37" s="5">
        <v>1</v>
      </c>
      <c r="H37" s="6" t="s">
        <v>6</v>
      </c>
      <c r="I37" s="5">
        <v>0</v>
      </c>
      <c r="J37" s="7">
        <f>607000000*2</f>
        <v>1214000000</v>
      </c>
      <c r="K37" s="7">
        <f t="shared" si="1"/>
        <v>5463000000</v>
      </c>
      <c r="L37" s="17">
        <v>0</v>
      </c>
      <c r="M37" s="5">
        <v>0</v>
      </c>
      <c r="N37" s="18" t="s">
        <v>26</v>
      </c>
      <c r="O37" s="6" t="s">
        <v>3</v>
      </c>
      <c r="P37" s="6" t="s">
        <v>30</v>
      </c>
      <c r="Q37" s="5">
        <v>3108734212</v>
      </c>
      <c r="R37" s="52" t="s">
        <v>31</v>
      </c>
    </row>
    <row r="38" spans="2:18" ht="25.5" x14ac:dyDescent="0.2">
      <c r="B38" s="3" t="s">
        <v>143</v>
      </c>
      <c r="C38" s="4" t="s">
        <v>144</v>
      </c>
      <c r="D38" s="5">
        <v>3</v>
      </c>
      <c r="E38" s="5">
        <v>4</v>
      </c>
      <c r="F38" s="5">
        <v>3</v>
      </c>
      <c r="G38" s="5">
        <v>1</v>
      </c>
      <c r="H38" s="6" t="s">
        <v>6</v>
      </c>
      <c r="I38" s="5">
        <v>0</v>
      </c>
      <c r="J38" s="7">
        <v>90000000</v>
      </c>
      <c r="K38" s="7">
        <f>J38</f>
        <v>90000000</v>
      </c>
      <c r="L38" s="5">
        <v>0</v>
      </c>
      <c r="M38" s="5">
        <v>0</v>
      </c>
      <c r="N38" s="18" t="s">
        <v>26</v>
      </c>
      <c r="O38" s="6" t="s">
        <v>3</v>
      </c>
      <c r="P38" s="6" t="s">
        <v>30</v>
      </c>
      <c r="Q38" s="5">
        <v>3208500508</v>
      </c>
      <c r="R38" s="52" t="s">
        <v>145</v>
      </c>
    </row>
    <row r="39" spans="2:18" ht="25.5" x14ac:dyDescent="0.2">
      <c r="B39" s="3" t="s">
        <v>143</v>
      </c>
      <c r="C39" s="4" t="s">
        <v>146</v>
      </c>
      <c r="D39" s="5">
        <v>2</v>
      </c>
      <c r="E39" s="5">
        <v>3</v>
      </c>
      <c r="F39" s="5">
        <v>3</v>
      </c>
      <c r="G39" s="5">
        <v>1</v>
      </c>
      <c r="H39" s="6" t="s">
        <v>6</v>
      </c>
      <c r="I39" s="5">
        <v>0</v>
      </c>
      <c r="J39" s="7">
        <v>144620000</v>
      </c>
      <c r="K39" s="7">
        <f>J39</f>
        <v>144620000</v>
      </c>
      <c r="L39" s="5">
        <v>0</v>
      </c>
      <c r="M39" s="5">
        <v>0</v>
      </c>
      <c r="N39" s="18" t="s">
        <v>26</v>
      </c>
      <c r="O39" s="6" t="s">
        <v>3</v>
      </c>
      <c r="P39" s="6" t="s">
        <v>30</v>
      </c>
      <c r="Q39" s="5">
        <v>3208500508</v>
      </c>
      <c r="R39" s="52" t="s">
        <v>145</v>
      </c>
    </row>
    <row r="40" spans="2:18" ht="25.5" x14ac:dyDescent="0.2">
      <c r="B40" s="3" t="s">
        <v>143</v>
      </c>
      <c r="C40" s="4" t="s">
        <v>147</v>
      </c>
      <c r="D40" s="5">
        <v>4</v>
      </c>
      <c r="E40" s="5">
        <v>5</v>
      </c>
      <c r="F40" s="5">
        <v>3</v>
      </c>
      <c r="G40" s="5">
        <v>1</v>
      </c>
      <c r="H40" s="6" t="s">
        <v>6</v>
      </c>
      <c r="I40" s="5">
        <v>0</v>
      </c>
      <c r="J40" s="7">
        <v>120000000</v>
      </c>
      <c r="K40" s="7">
        <f>J40</f>
        <v>120000000</v>
      </c>
      <c r="L40" s="5">
        <v>0</v>
      </c>
      <c r="M40" s="5">
        <v>0</v>
      </c>
      <c r="N40" s="18" t="s">
        <v>26</v>
      </c>
      <c r="O40" s="6" t="s">
        <v>3</v>
      </c>
      <c r="P40" s="6" t="s">
        <v>30</v>
      </c>
      <c r="Q40" s="5">
        <v>3208500508</v>
      </c>
      <c r="R40" s="52" t="s">
        <v>145</v>
      </c>
    </row>
    <row r="41" spans="2:18" ht="25.5" x14ac:dyDescent="0.2">
      <c r="B41" s="3" t="s">
        <v>148</v>
      </c>
      <c r="C41" s="9" t="s">
        <v>149</v>
      </c>
      <c r="D41" s="5">
        <v>2</v>
      </c>
      <c r="E41" s="5">
        <v>3</v>
      </c>
      <c r="F41" s="5">
        <v>2</v>
      </c>
      <c r="G41" s="5">
        <v>1</v>
      </c>
      <c r="H41" s="6" t="s">
        <v>6</v>
      </c>
      <c r="I41" s="5">
        <v>0</v>
      </c>
      <c r="J41" s="7">
        <v>150000000</v>
      </c>
      <c r="K41" s="7">
        <f>J41</f>
        <v>150000000</v>
      </c>
      <c r="L41" s="5">
        <v>0</v>
      </c>
      <c r="M41" s="5">
        <v>0</v>
      </c>
      <c r="N41" s="18" t="s">
        <v>26</v>
      </c>
      <c r="O41" s="6" t="s">
        <v>3</v>
      </c>
      <c r="P41" s="6" t="s">
        <v>30</v>
      </c>
      <c r="Q41" s="5">
        <v>3208500508</v>
      </c>
      <c r="R41" s="52" t="s">
        <v>145</v>
      </c>
    </row>
    <row r="42" spans="2:18" ht="51" x14ac:dyDescent="0.2">
      <c r="B42" s="3" t="s">
        <v>75</v>
      </c>
      <c r="C42" s="4" t="s">
        <v>150</v>
      </c>
      <c r="D42" s="5">
        <v>6</v>
      </c>
      <c r="E42" s="5">
        <v>7</v>
      </c>
      <c r="F42" s="5">
        <v>3</v>
      </c>
      <c r="G42" s="6" t="s">
        <v>9</v>
      </c>
      <c r="H42" s="6" t="s">
        <v>6</v>
      </c>
      <c r="I42" s="6" t="s">
        <v>8</v>
      </c>
      <c r="J42" s="7">
        <f>40000000*F42</f>
        <v>120000000</v>
      </c>
      <c r="K42" s="7">
        <f t="shared" ref="K42:K50" si="2">+(J42/F42)*(13-E42)</f>
        <v>240000000</v>
      </c>
      <c r="L42" s="6">
        <v>0</v>
      </c>
      <c r="M42" s="6">
        <v>0</v>
      </c>
      <c r="N42" s="18" t="s">
        <v>26</v>
      </c>
      <c r="O42" s="6" t="s">
        <v>3</v>
      </c>
      <c r="P42" s="6" t="s">
        <v>30</v>
      </c>
      <c r="Q42" s="6" t="s">
        <v>151</v>
      </c>
      <c r="R42" s="53" t="s">
        <v>152</v>
      </c>
    </row>
    <row r="43" spans="2:18" ht="25.5" x14ac:dyDescent="0.2">
      <c r="B43" s="3" t="s">
        <v>153</v>
      </c>
      <c r="C43" s="4" t="s">
        <v>154</v>
      </c>
      <c r="D43" s="5">
        <v>7</v>
      </c>
      <c r="E43" s="5">
        <v>8</v>
      </c>
      <c r="F43" s="5">
        <v>4</v>
      </c>
      <c r="G43" s="6" t="s">
        <v>9</v>
      </c>
      <c r="H43" s="6" t="s">
        <v>6</v>
      </c>
      <c r="I43" s="6" t="s">
        <v>8</v>
      </c>
      <c r="J43" s="7">
        <f>8000000*F43</f>
        <v>32000000</v>
      </c>
      <c r="K43" s="7">
        <f t="shared" si="2"/>
        <v>40000000</v>
      </c>
      <c r="L43" s="6">
        <v>0</v>
      </c>
      <c r="M43" s="6">
        <v>0</v>
      </c>
      <c r="N43" s="6" t="s">
        <v>26</v>
      </c>
      <c r="O43" s="6" t="s">
        <v>3</v>
      </c>
      <c r="P43" s="6" t="s">
        <v>30</v>
      </c>
      <c r="Q43" s="6" t="s">
        <v>151</v>
      </c>
      <c r="R43" s="53" t="s">
        <v>152</v>
      </c>
    </row>
    <row r="44" spans="2:18" ht="25.5" x14ac:dyDescent="0.2">
      <c r="B44" s="3" t="s">
        <v>155</v>
      </c>
      <c r="C44" s="4" t="s">
        <v>156</v>
      </c>
      <c r="D44" s="5">
        <v>6</v>
      </c>
      <c r="E44" s="5">
        <v>7</v>
      </c>
      <c r="F44" s="5">
        <v>4</v>
      </c>
      <c r="G44" s="6" t="s">
        <v>9</v>
      </c>
      <c r="H44" s="6" t="s">
        <v>6</v>
      </c>
      <c r="I44" s="6" t="s">
        <v>8</v>
      </c>
      <c r="J44" s="7">
        <v>20000000</v>
      </c>
      <c r="K44" s="7">
        <f t="shared" si="2"/>
        <v>30000000</v>
      </c>
      <c r="L44" s="6">
        <v>0</v>
      </c>
      <c r="M44" s="6">
        <v>0</v>
      </c>
      <c r="N44" s="6" t="s">
        <v>26</v>
      </c>
      <c r="O44" s="6" t="s">
        <v>3</v>
      </c>
      <c r="P44" s="6" t="s">
        <v>30</v>
      </c>
      <c r="Q44" s="6" t="s">
        <v>151</v>
      </c>
      <c r="R44" s="53" t="s">
        <v>152</v>
      </c>
    </row>
    <row r="45" spans="2:18" ht="25.5" x14ac:dyDescent="0.2">
      <c r="B45" s="3" t="s">
        <v>157</v>
      </c>
      <c r="C45" s="4" t="s">
        <v>158</v>
      </c>
      <c r="D45" s="5">
        <v>5</v>
      </c>
      <c r="E45" s="5">
        <v>6</v>
      </c>
      <c r="F45" s="5">
        <v>4</v>
      </c>
      <c r="G45" s="6" t="s">
        <v>9</v>
      </c>
      <c r="H45" s="6" t="s">
        <v>6</v>
      </c>
      <c r="I45" s="6" t="s">
        <v>8</v>
      </c>
      <c r="J45" s="7">
        <v>320000000</v>
      </c>
      <c r="K45" s="7">
        <f t="shared" si="2"/>
        <v>560000000</v>
      </c>
      <c r="L45" s="6">
        <v>0</v>
      </c>
      <c r="M45" s="6">
        <v>0</v>
      </c>
      <c r="N45" s="6" t="s">
        <v>26</v>
      </c>
      <c r="O45" s="6" t="s">
        <v>3</v>
      </c>
      <c r="P45" s="6" t="s">
        <v>30</v>
      </c>
      <c r="Q45" s="6" t="s">
        <v>151</v>
      </c>
      <c r="R45" s="53" t="s">
        <v>152</v>
      </c>
    </row>
    <row r="46" spans="2:18" ht="89.25" x14ac:dyDescent="0.2">
      <c r="B46" s="3" t="s">
        <v>159</v>
      </c>
      <c r="C46" s="4" t="s">
        <v>160</v>
      </c>
      <c r="D46" s="5">
        <v>1</v>
      </c>
      <c r="E46" s="5">
        <v>2</v>
      </c>
      <c r="F46" s="5">
        <v>4</v>
      </c>
      <c r="G46" s="6" t="s">
        <v>9</v>
      </c>
      <c r="H46" s="6" t="s">
        <v>6</v>
      </c>
      <c r="I46" s="6" t="s">
        <v>8</v>
      </c>
      <c r="J46" s="7">
        <f>150000000*4</f>
        <v>600000000</v>
      </c>
      <c r="K46" s="7">
        <f t="shared" si="2"/>
        <v>1650000000</v>
      </c>
      <c r="L46" s="6">
        <v>0</v>
      </c>
      <c r="M46" s="6">
        <v>0</v>
      </c>
      <c r="N46" s="6" t="s">
        <v>26</v>
      </c>
      <c r="O46" s="6" t="s">
        <v>3</v>
      </c>
      <c r="P46" s="6" t="s">
        <v>30</v>
      </c>
      <c r="Q46" s="6" t="s">
        <v>151</v>
      </c>
      <c r="R46" s="53" t="s">
        <v>152</v>
      </c>
    </row>
    <row r="47" spans="2:18" ht="25.5" x14ac:dyDescent="0.2">
      <c r="B47" s="3" t="s">
        <v>161</v>
      </c>
      <c r="C47" s="4" t="s">
        <v>162</v>
      </c>
      <c r="D47" s="5">
        <v>3</v>
      </c>
      <c r="E47" s="5">
        <v>4</v>
      </c>
      <c r="F47" s="5">
        <v>3</v>
      </c>
      <c r="G47" s="6" t="s">
        <v>9</v>
      </c>
      <c r="H47" s="6" t="s">
        <v>6</v>
      </c>
      <c r="I47" s="6" t="s">
        <v>8</v>
      </c>
      <c r="J47" s="7">
        <f>3500000*F47</f>
        <v>10500000</v>
      </c>
      <c r="K47" s="7">
        <f t="shared" si="2"/>
        <v>31500000</v>
      </c>
      <c r="L47" s="6">
        <v>0</v>
      </c>
      <c r="M47" s="6">
        <v>0</v>
      </c>
      <c r="N47" s="6" t="s">
        <v>26</v>
      </c>
      <c r="O47" s="6" t="s">
        <v>3</v>
      </c>
      <c r="P47" s="6" t="s">
        <v>30</v>
      </c>
      <c r="Q47" s="6" t="s">
        <v>151</v>
      </c>
      <c r="R47" s="53" t="s">
        <v>152</v>
      </c>
    </row>
    <row r="48" spans="2:18" ht="25.5" x14ac:dyDescent="0.2">
      <c r="B48" s="3" t="s">
        <v>163</v>
      </c>
      <c r="C48" s="4" t="s">
        <v>164</v>
      </c>
      <c r="D48" s="5">
        <v>8</v>
      </c>
      <c r="E48" s="5">
        <v>9</v>
      </c>
      <c r="F48" s="5">
        <v>3</v>
      </c>
      <c r="G48" s="5" t="s">
        <v>9</v>
      </c>
      <c r="H48" s="6" t="s">
        <v>6</v>
      </c>
      <c r="I48" s="6" t="s">
        <v>8</v>
      </c>
      <c r="J48" s="7">
        <v>249000000</v>
      </c>
      <c r="K48" s="7">
        <f t="shared" si="2"/>
        <v>332000000</v>
      </c>
      <c r="L48" s="6" t="s">
        <v>8</v>
      </c>
      <c r="M48" s="6">
        <v>0</v>
      </c>
      <c r="N48" s="6" t="s">
        <v>26</v>
      </c>
      <c r="O48" s="6" t="s">
        <v>3</v>
      </c>
      <c r="P48" s="6" t="s">
        <v>30</v>
      </c>
      <c r="Q48" s="6" t="s">
        <v>50</v>
      </c>
      <c r="R48" s="53" t="s">
        <v>51</v>
      </c>
    </row>
    <row r="49" spans="2:18" ht="25.5" x14ac:dyDescent="0.2">
      <c r="B49" s="3" t="s">
        <v>165</v>
      </c>
      <c r="C49" s="4" t="s">
        <v>166</v>
      </c>
      <c r="D49" s="5">
        <v>1</v>
      </c>
      <c r="E49" s="5">
        <v>1</v>
      </c>
      <c r="F49" s="5" t="s">
        <v>34</v>
      </c>
      <c r="G49" s="5" t="s">
        <v>9</v>
      </c>
      <c r="H49" s="6" t="s">
        <v>6</v>
      </c>
      <c r="I49" s="6" t="s">
        <v>8</v>
      </c>
      <c r="J49" s="7">
        <f>2000000*F49</f>
        <v>6000000</v>
      </c>
      <c r="K49" s="7">
        <f t="shared" si="2"/>
        <v>24000000</v>
      </c>
      <c r="L49" s="6">
        <v>0</v>
      </c>
      <c r="M49" s="6">
        <v>0</v>
      </c>
      <c r="N49" s="6" t="s">
        <v>26</v>
      </c>
      <c r="O49" s="6" t="s">
        <v>3</v>
      </c>
      <c r="P49" s="6" t="s">
        <v>30</v>
      </c>
      <c r="Q49" s="6" t="s">
        <v>50</v>
      </c>
      <c r="R49" s="53" t="s">
        <v>51</v>
      </c>
    </row>
    <row r="50" spans="2:18" ht="25.5" x14ac:dyDescent="0.2">
      <c r="B50" s="3" t="s">
        <v>167</v>
      </c>
      <c r="C50" s="4" t="s">
        <v>168</v>
      </c>
      <c r="D50" s="5" t="s">
        <v>169</v>
      </c>
      <c r="E50" s="5" t="s">
        <v>170</v>
      </c>
      <c r="F50" s="5" t="s">
        <v>34</v>
      </c>
      <c r="G50" s="5" t="s">
        <v>9</v>
      </c>
      <c r="H50" s="6" t="s">
        <v>6</v>
      </c>
      <c r="I50" s="6" t="s">
        <v>8</v>
      </c>
      <c r="J50" s="7">
        <v>25000000</v>
      </c>
      <c r="K50" s="7">
        <f t="shared" si="2"/>
        <v>33333333.333333332</v>
      </c>
      <c r="L50" s="6">
        <v>0</v>
      </c>
      <c r="M50" s="6">
        <v>0</v>
      </c>
      <c r="N50" s="6" t="s">
        <v>26</v>
      </c>
      <c r="O50" s="6" t="s">
        <v>3</v>
      </c>
      <c r="P50" s="6" t="s">
        <v>30</v>
      </c>
      <c r="Q50" s="6" t="s">
        <v>50</v>
      </c>
      <c r="R50" s="53" t="s">
        <v>51</v>
      </c>
    </row>
    <row r="51" spans="2:18" ht="25.5" x14ac:dyDescent="0.2">
      <c r="B51" s="3" t="s">
        <v>48</v>
      </c>
      <c r="C51" s="4" t="s">
        <v>49</v>
      </c>
      <c r="D51" s="5">
        <v>1</v>
      </c>
      <c r="E51" s="5">
        <v>1</v>
      </c>
      <c r="F51" s="5">
        <v>3</v>
      </c>
      <c r="G51" s="5" t="s">
        <v>9</v>
      </c>
      <c r="H51" s="6" t="s">
        <v>6</v>
      </c>
      <c r="I51" s="6" t="s">
        <v>8</v>
      </c>
      <c r="J51" s="7">
        <v>126000000</v>
      </c>
      <c r="K51" s="7">
        <f>J51</f>
        <v>126000000</v>
      </c>
      <c r="L51" s="6">
        <v>0</v>
      </c>
      <c r="M51" s="6">
        <v>0</v>
      </c>
      <c r="N51" s="6" t="s">
        <v>26</v>
      </c>
      <c r="O51" s="6" t="s">
        <v>3</v>
      </c>
      <c r="P51" s="6" t="s">
        <v>30</v>
      </c>
      <c r="Q51" s="6" t="s">
        <v>50</v>
      </c>
      <c r="R51" s="53" t="s">
        <v>51</v>
      </c>
    </row>
    <row r="52" spans="2:18" ht="25.5" x14ac:dyDescent="0.2">
      <c r="B52" s="3" t="s">
        <v>171</v>
      </c>
      <c r="C52" s="4" t="s">
        <v>172</v>
      </c>
      <c r="D52" s="5">
        <v>6</v>
      </c>
      <c r="E52" s="5">
        <v>7</v>
      </c>
      <c r="F52" s="5">
        <v>4</v>
      </c>
      <c r="G52" s="5" t="s">
        <v>9</v>
      </c>
      <c r="H52" s="6" t="s">
        <v>6</v>
      </c>
      <c r="I52" s="6" t="s">
        <v>8</v>
      </c>
      <c r="J52" s="7">
        <v>32000000</v>
      </c>
      <c r="K52" s="7">
        <f>+(J52/F52)*(13-E52)</f>
        <v>48000000</v>
      </c>
      <c r="L52" s="6">
        <v>0</v>
      </c>
      <c r="M52" s="6">
        <v>0</v>
      </c>
      <c r="N52" s="6" t="s">
        <v>26</v>
      </c>
      <c r="O52" s="6" t="s">
        <v>3</v>
      </c>
      <c r="P52" s="6" t="s">
        <v>30</v>
      </c>
      <c r="Q52" s="6" t="s">
        <v>50</v>
      </c>
      <c r="R52" s="53" t="s">
        <v>51</v>
      </c>
    </row>
    <row r="53" spans="2:18" ht="25.5" x14ac:dyDescent="0.2">
      <c r="B53" s="3" t="s">
        <v>173</v>
      </c>
      <c r="C53" s="4" t="s">
        <v>174</v>
      </c>
      <c r="D53" s="5">
        <v>9</v>
      </c>
      <c r="E53" s="5">
        <v>10</v>
      </c>
      <c r="F53" s="5">
        <v>3</v>
      </c>
      <c r="G53" s="5" t="s">
        <v>9</v>
      </c>
      <c r="H53" s="6" t="s">
        <v>6</v>
      </c>
      <c r="I53" s="6" t="s">
        <v>8</v>
      </c>
      <c r="J53" s="7">
        <v>52000000</v>
      </c>
      <c r="K53" s="7">
        <f>J53</f>
        <v>52000000</v>
      </c>
      <c r="L53" s="6">
        <v>0</v>
      </c>
      <c r="M53" s="6">
        <v>0</v>
      </c>
      <c r="N53" s="6" t="s">
        <v>26</v>
      </c>
      <c r="O53" s="6" t="s">
        <v>3</v>
      </c>
      <c r="P53" s="6" t="s">
        <v>30</v>
      </c>
      <c r="Q53" s="6" t="s">
        <v>50</v>
      </c>
      <c r="R53" s="53" t="s">
        <v>51</v>
      </c>
    </row>
    <row r="54" spans="2:18" ht="38.25" x14ac:dyDescent="0.2">
      <c r="B54" s="3" t="s">
        <v>175</v>
      </c>
      <c r="C54" s="4" t="s">
        <v>176</v>
      </c>
      <c r="D54" s="5">
        <v>4</v>
      </c>
      <c r="E54" s="5">
        <v>5</v>
      </c>
      <c r="F54" s="5">
        <v>6</v>
      </c>
      <c r="G54" s="5" t="s">
        <v>9</v>
      </c>
      <c r="H54" s="6" t="s">
        <v>6</v>
      </c>
      <c r="I54" s="6" t="s">
        <v>8</v>
      </c>
      <c r="J54" s="7">
        <v>15300000</v>
      </c>
      <c r="K54" s="7">
        <f>+(J54/F54)*(13-E54)</f>
        <v>20400000</v>
      </c>
      <c r="L54" s="6">
        <v>0</v>
      </c>
      <c r="M54" s="6">
        <v>0</v>
      </c>
      <c r="N54" s="6" t="s">
        <v>26</v>
      </c>
      <c r="O54" s="6" t="s">
        <v>3</v>
      </c>
      <c r="P54" s="6" t="s">
        <v>30</v>
      </c>
      <c r="Q54" s="6" t="s">
        <v>50</v>
      </c>
      <c r="R54" s="53" t="s">
        <v>51</v>
      </c>
    </row>
    <row r="55" spans="2:18" ht="25.5" x14ac:dyDescent="0.2">
      <c r="B55" s="3" t="s">
        <v>177</v>
      </c>
      <c r="C55" s="4" t="s">
        <v>178</v>
      </c>
      <c r="D55" s="5">
        <v>3</v>
      </c>
      <c r="E55" s="5">
        <v>4</v>
      </c>
      <c r="F55" s="5" t="s">
        <v>9</v>
      </c>
      <c r="G55" s="5" t="s">
        <v>9</v>
      </c>
      <c r="H55" s="6" t="s">
        <v>6</v>
      </c>
      <c r="I55" s="6" t="s">
        <v>8</v>
      </c>
      <c r="J55" s="7">
        <v>8000000</v>
      </c>
      <c r="K55" s="7">
        <f>J55</f>
        <v>8000000</v>
      </c>
      <c r="L55" s="6">
        <v>0</v>
      </c>
      <c r="M55" s="6">
        <v>0</v>
      </c>
      <c r="N55" s="6" t="s">
        <v>26</v>
      </c>
      <c r="O55" s="6" t="s">
        <v>3</v>
      </c>
      <c r="P55" s="6" t="s">
        <v>30</v>
      </c>
      <c r="Q55" s="6" t="s">
        <v>50</v>
      </c>
      <c r="R55" s="53" t="s">
        <v>51</v>
      </c>
    </row>
    <row r="56" spans="2:18" ht="25.5" x14ac:dyDescent="0.2">
      <c r="B56" s="3" t="s">
        <v>179</v>
      </c>
      <c r="C56" s="13" t="s">
        <v>180</v>
      </c>
      <c r="D56" s="14">
        <v>5</v>
      </c>
      <c r="E56" s="14">
        <v>6</v>
      </c>
      <c r="F56" s="5">
        <v>4</v>
      </c>
      <c r="G56" s="14">
        <v>1</v>
      </c>
      <c r="H56" s="6" t="s">
        <v>6</v>
      </c>
      <c r="I56" s="15" t="s">
        <v>8</v>
      </c>
      <c r="J56" s="7">
        <v>1040000000</v>
      </c>
      <c r="K56" s="7">
        <v>1040000000</v>
      </c>
      <c r="L56" s="15" t="s">
        <v>8</v>
      </c>
      <c r="M56" s="15" t="s">
        <v>8</v>
      </c>
      <c r="N56" s="15" t="s">
        <v>26</v>
      </c>
      <c r="O56" s="6" t="s">
        <v>3</v>
      </c>
      <c r="P56" s="15" t="s">
        <v>30</v>
      </c>
      <c r="Q56" s="15" t="s">
        <v>73</v>
      </c>
      <c r="R56" s="54" t="s">
        <v>119</v>
      </c>
    </row>
    <row r="57" spans="2:18" ht="38.25" x14ac:dyDescent="0.2">
      <c r="B57" s="3" t="s">
        <v>181</v>
      </c>
      <c r="C57" s="4" t="s">
        <v>182</v>
      </c>
      <c r="D57" s="18">
        <v>6</v>
      </c>
      <c r="E57" s="18">
        <v>7</v>
      </c>
      <c r="F57" s="5">
        <v>3</v>
      </c>
      <c r="G57" s="5">
        <v>1</v>
      </c>
      <c r="H57" s="6" t="s">
        <v>6</v>
      </c>
      <c r="I57" s="5">
        <v>0</v>
      </c>
      <c r="J57" s="7">
        <v>40000000</v>
      </c>
      <c r="K57" s="7">
        <v>40000000</v>
      </c>
      <c r="L57" s="5">
        <v>0</v>
      </c>
      <c r="M57" s="5">
        <v>0</v>
      </c>
      <c r="N57" s="18" t="s">
        <v>26</v>
      </c>
      <c r="O57" s="6" t="s">
        <v>3</v>
      </c>
      <c r="P57" s="6" t="s">
        <v>30</v>
      </c>
      <c r="Q57" s="5">
        <v>3182653800</v>
      </c>
      <c r="R57" s="52" t="s">
        <v>145</v>
      </c>
    </row>
    <row r="58" spans="2:18" ht="38.25" x14ac:dyDescent="0.2">
      <c r="B58" s="3" t="s">
        <v>183</v>
      </c>
      <c r="C58" s="4" t="s">
        <v>184</v>
      </c>
      <c r="D58" s="5" t="s">
        <v>170</v>
      </c>
      <c r="E58" s="5" t="s">
        <v>185</v>
      </c>
      <c r="F58" s="5">
        <v>3</v>
      </c>
      <c r="G58" s="5" t="s">
        <v>9</v>
      </c>
      <c r="H58" s="6" t="s">
        <v>6</v>
      </c>
      <c r="I58" s="6" t="s">
        <v>8</v>
      </c>
      <c r="J58" s="7">
        <f>5500000*3</f>
        <v>16500000</v>
      </c>
      <c r="K58" s="7">
        <f>+(J58/F58)*(13-E58)</f>
        <v>16500000</v>
      </c>
      <c r="L58" s="6">
        <v>0</v>
      </c>
      <c r="M58" s="6">
        <v>0</v>
      </c>
      <c r="N58" s="6" t="s">
        <v>26</v>
      </c>
      <c r="O58" s="6" t="s">
        <v>3</v>
      </c>
      <c r="P58" s="6" t="s">
        <v>30</v>
      </c>
      <c r="Q58" s="6" t="s">
        <v>46</v>
      </c>
      <c r="R58" s="53" t="s">
        <v>47</v>
      </c>
    </row>
    <row r="59" spans="2:18" ht="25.5" x14ac:dyDescent="0.2">
      <c r="B59" s="3" t="s">
        <v>52</v>
      </c>
      <c r="C59" s="4" t="s">
        <v>53</v>
      </c>
      <c r="D59" s="5" t="s">
        <v>9</v>
      </c>
      <c r="E59" s="5" t="s">
        <v>9</v>
      </c>
      <c r="F59" s="5" t="s">
        <v>25</v>
      </c>
      <c r="G59" s="5" t="s">
        <v>9</v>
      </c>
      <c r="H59" s="6" t="s">
        <v>6</v>
      </c>
      <c r="I59" s="6" t="s">
        <v>8</v>
      </c>
      <c r="J59" s="7">
        <v>61000000</v>
      </c>
      <c r="K59" s="7">
        <f>+(J59/F59)*(13-E59)</f>
        <v>183000000</v>
      </c>
      <c r="L59" s="6">
        <v>0</v>
      </c>
      <c r="M59" s="6">
        <v>0</v>
      </c>
      <c r="N59" s="6" t="s">
        <v>26</v>
      </c>
      <c r="O59" s="6" t="s">
        <v>3</v>
      </c>
      <c r="P59" s="6" t="s">
        <v>30</v>
      </c>
      <c r="Q59" s="6" t="s">
        <v>46</v>
      </c>
      <c r="R59" s="53" t="s">
        <v>47</v>
      </c>
    </row>
    <row r="60" spans="2:18" ht="38.25" x14ac:dyDescent="0.2">
      <c r="B60" s="3" t="s">
        <v>186</v>
      </c>
      <c r="C60" s="4" t="s">
        <v>187</v>
      </c>
      <c r="D60" s="5">
        <v>9</v>
      </c>
      <c r="E60" s="5">
        <v>10</v>
      </c>
      <c r="F60" s="5" t="s">
        <v>188</v>
      </c>
      <c r="G60" s="5">
        <v>1</v>
      </c>
      <c r="H60" s="6" t="s">
        <v>6</v>
      </c>
      <c r="I60" s="6" t="s">
        <v>8</v>
      </c>
      <c r="J60" s="7">
        <v>12254247</v>
      </c>
      <c r="K60" s="7">
        <v>12254247</v>
      </c>
      <c r="L60" s="6">
        <v>0</v>
      </c>
      <c r="M60" s="6">
        <v>0</v>
      </c>
      <c r="N60" s="6" t="s">
        <v>26</v>
      </c>
      <c r="O60" s="6" t="s">
        <v>3</v>
      </c>
      <c r="P60" s="6" t="s">
        <v>30</v>
      </c>
      <c r="Q60" s="6" t="s">
        <v>46</v>
      </c>
      <c r="R60" s="53" t="s">
        <v>47</v>
      </c>
    </row>
    <row r="61" spans="2:18" ht="25.5" x14ac:dyDescent="0.2">
      <c r="B61" s="3" t="s">
        <v>54</v>
      </c>
      <c r="C61" s="4" t="s">
        <v>55</v>
      </c>
      <c r="D61" s="5" t="s">
        <v>9</v>
      </c>
      <c r="E61" s="5" t="s">
        <v>9</v>
      </c>
      <c r="F61" s="5">
        <v>3</v>
      </c>
      <c r="G61" s="5" t="s">
        <v>9</v>
      </c>
      <c r="H61" s="6" t="s">
        <v>6</v>
      </c>
      <c r="I61" s="6" t="s">
        <v>8</v>
      </c>
      <c r="J61" s="7">
        <f>1081000000</f>
        <v>1081000000</v>
      </c>
      <c r="K61" s="7">
        <f t="shared" ref="K61:K66" si="3">+(J61/F61)*(13-E61)</f>
        <v>4324000000</v>
      </c>
      <c r="L61" s="6">
        <v>0</v>
      </c>
      <c r="M61" s="6">
        <v>0</v>
      </c>
      <c r="N61" s="6" t="s">
        <v>26</v>
      </c>
      <c r="O61" s="6" t="s">
        <v>3</v>
      </c>
      <c r="P61" s="6" t="s">
        <v>30</v>
      </c>
      <c r="Q61" s="6" t="s">
        <v>46</v>
      </c>
      <c r="R61" s="53" t="s">
        <v>47</v>
      </c>
    </row>
    <row r="62" spans="2:18" ht="25.5" x14ac:dyDescent="0.2">
      <c r="B62" s="3" t="s">
        <v>52</v>
      </c>
      <c r="C62" s="4" t="s">
        <v>56</v>
      </c>
      <c r="D62" s="5" t="s">
        <v>9</v>
      </c>
      <c r="E62" s="5">
        <v>1</v>
      </c>
      <c r="F62" s="5">
        <v>3</v>
      </c>
      <c r="G62" s="5" t="s">
        <v>9</v>
      </c>
      <c r="H62" s="6" t="s">
        <v>6</v>
      </c>
      <c r="I62" s="6" t="s">
        <v>8</v>
      </c>
      <c r="J62" s="7">
        <f>60000000*3</f>
        <v>180000000</v>
      </c>
      <c r="K62" s="7">
        <f t="shared" si="3"/>
        <v>720000000</v>
      </c>
      <c r="L62" s="6">
        <v>0</v>
      </c>
      <c r="M62" s="6">
        <v>0</v>
      </c>
      <c r="N62" s="6" t="s">
        <v>26</v>
      </c>
      <c r="O62" s="6" t="s">
        <v>3</v>
      </c>
      <c r="P62" s="6" t="s">
        <v>30</v>
      </c>
      <c r="Q62" s="6" t="s">
        <v>46</v>
      </c>
      <c r="R62" s="53" t="s">
        <v>47</v>
      </c>
    </row>
    <row r="63" spans="2:18" ht="25.5" x14ac:dyDescent="0.2">
      <c r="B63" s="3" t="s">
        <v>57</v>
      </c>
      <c r="C63" s="4" t="s">
        <v>58</v>
      </c>
      <c r="D63" s="5" t="s">
        <v>9</v>
      </c>
      <c r="E63" s="5" t="s">
        <v>24</v>
      </c>
      <c r="F63" s="5">
        <v>4</v>
      </c>
      <c r="G63" s="5" t="s">
        <v>9</v>
      </c>
      <c r="H63" s="6" t="s">
        <v>6</v>
      </c>
      <c r="I63" s="6" t="s">
        <v>8</v>
      </c>
      <c r="J63" s="7">
        <v>317856000</v>
      </c>
      <c r="K63" s="7">
        <f t="shared" si="3"/>
        <v>874104000</v>
      </c>
      <c r="L63" s="6">
        <v>0</v>
      </c>
      <c r="M63" s="6">
        <v>0</v>
      </c>
      <c r="N63" s="6" t="s">
        <v>26</v>
      </c>
      <c r="O63" s="6" t="s">
        <v>3</v>
      </c>
      <c r="P63" s="6" t="s">
        <v>30</v>
      </c>
      <c r="Q63" s="6" t="s">
        <v>46</v>
      </c>
      <c r="R63" s="53" t="s">
        <v>47</v>
      </c>
    </row>
    <row r="64" spans="2:18" ht="38.25" x14ac:dyDescent="0.2">
      <c r="B64" s="3" t="s">
        <v>59</v>
      </c>
      <c r="C64" s="19" t="s">
        <v>60</v>
      </c>
      <c r="D64" s="5">
        <v>1</v>
      </c>
      <c r="E64" s="5">
        <v>1</v>
      </c>
      <c r="F64" s="5">
        <v>4</v>
      </c>
      <c r="G64" s="5" t="s">
        <v>9</v>
      </c>
      <c r="H64" s="6" t="s">
        <v>6</v>
      </c>
      <c r="I64" s="6" t="s">
        <v>8</v>
      </c>
      <c r="J64" s="7">
        <v>222000000</v>
      </c>
      <c r="K64" s="7">
        <f t="shared" si="3"/>
        <v>666000000</v>
      </c>
      <c r="L64" s="6">
        <v>0</v>
      </c>
      <c r="M64" s="6">
        <v>0</v>
      </c>
      <c r="N64" s="6" t="s">
        <v>26</v>
      </c>
      <c r="O64" s="6" t="s">
        <v>3</v>
      </c>
      <c r="P64" s="6" t="s">
        <v>30</v>
      </c>
      <c r="Q64" s="6" t="s">
        <v>46</v>
      </c>
      <c r="R64" s="53" t="s">
        <v>47</v>
      </c>
    </row>
    <row r="65" spans="2:18" ht="38.25" x14ac:dyDescent="0.2">
      <c r="B65" s="3" t="s">
        <v>59</v>
      </c>
      <c r="C65" s="19" t="s">
        <v>189</v>
      </c>
      <c r="D65" s="5">
        <v>9</v>
      </c>
      <c r="E65" s="5">
        <v>10</v>
      </c>
      <c r="F65" s="5" t="s">
        <v>25</v>
      </c>
      <c r="G65" s="5" t="s">
        <v>9</v>
      </c>
      <c r="H65" s="6" t="s">
        <v>6</v>
      </c>
      <c r="I65" s="6" t="s">
        <v>8</v>
      </c>
      <c r="J65" s="7">
        <v>80000000</v>
      </c>
      <c r="K65" s="7">
        <f t="shared" si="3"/>
        <v>60000000</v>
      </c>
      <c r="L65" s="6" t="s">
        <v>8</v>
      </c>
      <c r="M65" s="6" t="s">
        <v>8</v>
      </c>
      <c r="N65" s="6" t="s">
        <v>26</v>
      </c>
      <c r="O65" s="6" t="s">
        <v>3</v>
      </c>
      <c r="P65" s="6" t="s">
        <v>30</v>
      </c>
      <c r="Q65" s="6" t="s">
        <v>46</v>
      </c>
      <c r="R65" s="53" t="s">
        <v>47</v>
      </c>
    </row>
    <row r="66" spans="2:18" ht="38.25" x14ac:dyDescent="0.2">
      <c r="B66" s="3" t="s">
        <v>190</v>
      </c>
      <c r="C66" s="19" t="s">
        <v>191</v>
      </c>
      <c r="D66" s="5">
        <v>8</v>
      </c>
      <c r="E66" s="5">
        <v>9</v>
      </c>
      <c r="F66" s="5" t="s">
        <v>25</v>
      </c>
      <c r="G66" s="5" t="s">
        <v>9</v>
      </c>
      <c r="H66" s="6" t="s">
        <v>6</v>
      </c>
      <c r="I66" s="6" t="s">
        <v>8</v>
      </c>
      <c r="J66" s="7">
        <v>22000000</v>
      </c>
      <c r="K66" s="7">
        <f t="shared" si="3"/>
        <v>22000000</v>
      </c>
      <c r="L66" s="6" t="s">
        <v>8</v>
      </c>
      <c r="M66" s="6" t="s">
        <v>8</v>
      </c>
      <c r="N66" s="6" t="s">
        <v>26</v>
      </c>
      <c r="O66" s="6" t="s">
        <v>3</v>
      </c>
      <c r="P66" s="6" t="s">
        <v>30</v>
      </c>
      <c r="Q66" s="6" t="s">
        <v>46</v>
      </c>
      <c r="R66" s="53" t="s">
        <v>47</v>
      </c>
    </row>
    <row r="67" spans="2:18" ht="38.25" x14ac:dyDescent="0.2">
      <c r="B67" s="3" t="s">
        <v>52</v>
      </c>
      <c r="C67" s="4" t="s">
        <v>192</v>
      </c>
      <c r="D67" s="5">
        <v>4</v>
      </c>
      <c r="E67" s="5">
        <v>5</v>
      </c>
      <c r="F67" s="5">
        <v>12</v>
      </c>
      <c r="G67" s="5">
        <v>1</v>
      </c>
      <c r="H67" s="6" t="s">
        <v>6</v>
      </c>
      <c r="I67" s="6" t="s">
        <v>8</v>
      </c>
      <c r="J67" s="7">
        <v>124000000</v>
      </c>
      <c r="K67" s="7">
        <v>124000000</v>
      </c>
      <c r="L67" s="6">
        <v>0</v>
      </c>
      <c r="M67" s="6">
        <v>0</v>
      </c>
      <c r="N67" s="6" t="s">
        <v>26</v>
      </c>
      <c r="O67" s="6" t="s">
        <v>3</v>
      </c>
      <c r="P67" s="6" t="s">
        <v>30</v>
      </c>
      <c r="Q67" s="6" t="s">
        <v>46</v>
      </c>
      <c r="R67" s="53" t="s">
        <v>47</v>
      </c>
    </row>
    <row r="68" spans="2:18" ht="51" x14ac:dyDescent="0.2">
      <c r="B68" s="3" t="s">
        <v>52</v>
      </c>
      <c r="C68" s="19" t="s">
        <v>61</v>
      </c>
      <c r="D68" s="5" t="s">
        <v>9</v>
      </c>
      <c r="E68" s="5">
        <v>1</v>
      </c>
      <c r="F68" s="5" t="s">
        <v>62</v>
      </c>
      <c r="G68" s="5" t="s">
        <v>9</v>
      </c>
      <c r="H68" s="6" t="s">
        <v>6</v>
      </c>
      <c r="I68" s="6" t="s">
        <v>8</v>
      </c>
      <c r="J68" s="7">
        <v>2850000</v>
      </c>
      <c r="K68" s="7">
        <f>J68</f>
        <v>2850000</v>
      </c>
      <c r="L68" s="6">
        <v>0</v>
      </c>
      <c r="M68" s="6">
        <v>0</v>
      </c>
      <c r="N68" s="6" t="s">
        <v>26</v>
      </c>
      <c r="O68" s="6" t="s">
        <v>3</v>
      </c>
      <c r="P68" s="6" t="s">
        <v>30</v>
      </c>
      <c r="Q68" s="6" t="s">
        <v>46</v>
      </c>
      <c r="R68" s="53" t="s">
        <v>47</v>
      </c>
    </row>
    <row r="69" spans="2:18" ht="25.5" x14ac:dyDescent="0.2">
      <c r="B69" s="3" t="s">
        <v>52</v>
      </c>
      <c r="C69" s="4" t="s">
        <v>193</v>
      </c>
      <c r="D69" s="5">
        <v>5</v>
      </c>
      <c r="E69" s="5">
        <v>6</v>
      </c>
      <c r="F69" s="5" t="s">
        <v>24</v>
      </c>
      <c r="G69" s="5" t="s">
        <v>9</v>
      </c>
      <c r="H69" s="6" t="s">
        <v>6</v>
      </c>
      <c r="I69" s="6" t="s">
        <v>8</v>
      </c>
      <c r="J69" s="7">
        <v>33000000</v>
      </c>
      <c r="K69" s="7">
        <v>33000000</v>
      </c>
      <c r="L69" s="6">
        <v>0</v>
      </c>
      <c r="M69" s="6">
        <v>0</v>
      </c>
      <c r="N69" s="6" t="s">
        <v>26</v>
      </c>
      <c r="O69" s="6" t="s">
        <v>3</v>
      </c>
      <c r="P69" s="6" t="s">
        <v>30</v>
      </c>
      <c r="Q69" s="6" t="s">
        <v>46</v>
      </c>
      <c r="R69" s="53" t="s">
        <v>47</v>
      </c>
    </row>
    <row r="70" spans="2:18" ht="25.5" x14ac:dyDescent="0.2">
      <c r="B70" s="3" t="s">
        <v>52</v>
      </c>
      <c r="C70" s="4" t="s">
        <v>194</v>
      </c>
      <c r="D70" s="5">
        <v>4</v>
      </c>
      <c r="E70" s="5">
        <v>5</v>
      </c>
      <c r="F70" s="5">
        <v>1</v>
      </c>
      <c r="G70" s="5" t="s">
        <v>9</v>
      </c>
      <c r="H70" s="6" t="s">
        <v>6</v>
      </c>
      <c r="I70" s="6" t="s">
        <v>8</v>
      </c>
      <c r="J70" s="7">
        <v>500000000</v>
      </c>
      <c r="K70" s="7">
        <v>500000000</v>
      </c>
      <c r="L70" s="6">
        <v>0</v>
      </c>
      <c r="M70" s="6">
        <v>0</v>
      </c>
      <c r="N70" s="6" t="s">
        <v>26</v>
      </c>
      <c r="O70" s="6" t="s">
        <v>3</v>
      </c>
      <c r="P70" s="6" t="s">
        <v>30</v>
      </c>
      <c r="Q70" s="6" t="s">
        <v>46</v>
      </c>
      <c r="R70" s="53" t="s">
        <v>47</v>
      </c>
    </row>
    <row r="71" spans="2:18" ht="25.5" x14ac:dyDescent="0.2">
      <c r="B71" s="3" t="s">
        <v>195</v>
      </c>
      <c r="C71" s="4" t="s">
        <v>196</v>
      </c>
      <c r="D71" s="5">
        <v>10</v>
      </c>
      <c r="E71" s="5">
        <v>11</v>
      </c>
      <c r="F71" s="5">
        <v>2</v>
      </c>
      <c r="G71" s="5" t="s">
        <v>9</v>
      </c>
      <c r="H71" s="6" t="s">
        <v>6</v>
      </c>
      <c r="I71" s="6" t="s">
        <v>8</v>
      </c>
      <c r="J71" s="7">
        <f>13000000*F71</f>
        <v>26000000</v>
      </c>
      <c r="K71" s="7">
        <f>+(J71/F71)*(13-E71)</f>
        <v>26000000</v>
      </c>
      <c r="L71" s="6">
        <v>0</v>
      </c>
      <c r="M71" s="6">
        <v>0</v>
      </c>
      <c r="N71" s="6" t="s">
        <v>26</v>
      </c>
      <c r="O71" s="6" t="s">
        <v>3</v>
      </c>
      <c r="P71" s="6" t="s">
        <v>30</v>
      </c>
      <c r="Q71" s="6" t="s">
        <v>46</v>
      </c>
      <c r="R71" s="53" t="s">
        <v>47</v>
      </c>
    </row>
    <row r="72" spans="2:18" ht="25.5" x14ac:dyDescent="0.2">
      <c r="B72" s="3" t="s">
        <v>197</v>
      </c>
      <c r="C72" s="4" t="s">
        <v>198</v>
      </c>
      <c r="D72" s="5" t="s">
        <v>34</v>
      </c>
      <c r="E72" s="5" t="s">
        <v>25</v>
      </c>
      <c r="F72" s="5" t="s">
        <v>188</v>
      </c>
      <c r="G72" s="5">
        <v>1</v>
      </c>
      <c r="H72" s="6" t="s">
        <v>6</v>
      </c>
      <c r="I72" s="6" t="s">
        <v>8</v>
      </c>
      <c r="J72" s="7">
        <v>45300000</v>
      </c>
      <c r="K72" s="7">
        <v>45300000</v>
      </c>
      <c r="L72" s="6">
        <v>0</v>
      </c>
      <c r="M72" s="6">
        <v>0</v>
      </c>
      <c r="N72" s="6" t="s">
        <v>26</v>
      </c>
      <c r="O72" s="6" t="s">
        <v>3</v>
      </c>
      <c r="P72" s="6" t="s">
        <v>30</v>
      </c>
      <c r="Q72" s="6" t="s">
        <v>46</v>
      </c>
      <c r="R72" s="53" t="s">
        <v>47</v>
      </c>
    </row>
    <row r="73" spans="2:18" ht="25.5" x14ac:dyDescent="0.2">
      <c r="B73" s="3" t="s">
        <v>199</v>
      </c>
      <c r="C73" s="4" t="s">
        <v>200</v>
      </c>
      <c r="D73" s="5">
        <v>4</v>
      </c>
      <c r="E73" s="5">
        <v>5</v>
      </c>
      <c r="F73" s="5" t="s">
        <v>25</v>
      </c>
      <c r="G73" s="5" t="s">
        <v>9</v>
      </c>
      <c r="H73" s="6" t="s">
        <v>6</v>
      </c>
      <c r="I73" s="6" t="s">
        <v>8</v>
      </c>
      <c r="J73" s="7">
        <v>180000000</v>
      </c>
      <c r="K73" s="7">
        <v>180000000</v>
      </c>
      <c r="L73" s="6">
        <v>0</v>
      </c>
      <c r="M73" s="6">
        <v>0</v>
      </c>
      <c r="N73" s="6" t="s">
        <v>26</v>
      </c>
      <c r="O73" s="6" t="s">
        <v>3</v>
      </c>
      <c r="P73" s="6" t="s">
        <v>30</v>
      </c>
      <c r="Q73" s="6" t="s">
        <v>46</v>
      </c>
      <c r="R73" s="53" t="s">
        <v>47</v>
      </c>
    </row>
    <row r="74" spans="2:18" ht="38.25" x14ac:dyDescent="0.2">
      <c r="B74" s="3" t="s">
        <v>63</v>
      </c>
      <c r="C74" s="4" t="s">
        <v>64</v>
      </c>
      <c r="D74" s="5" t="s">
        <v>9</v>
      </c>
      <c r="E74" s="5" t="s">
        <v>24</v>
      </c>
      <c r="F74" s="5">
        <v>2</v>
      </c>
      <c r="G74" s="5" t="s">
        <v>9</v>
      </c>
      <c r="H74" s="6" t="s">
        <v>6</v>
      </c>
      <c r="I74" s="6" t="s">
        <v>8</v>
      </c>
      <c r="J74" s="7">
        <v>32000000</v>
      </c>
      <c r="K74" s="7">
        <f>J74</f>
        <v>32000000</v>
      </c>
      <c r="L74" s="6" t="s">
        <v>8</v>
      </c>
      <c r="M74" s="6" t="s">
        <v>8</v>
      </c>
      <c r="N74" s="6" t="s">
        <v>26</v>
      </c>
      <c r="O74" s="6" t="s">
        <v>3</v>
      </c>
      <c r="P74" s="6" t="s">
        <v>30</v>
      </c>
      <c r="Q74" s="6" t="s">
        <v>46</v>
      </c>
      <c r="R74" s="53" t="s">
        <v>47</v>
      </c>
    </row>
    <row r="75" spans="2:18" ht="25.5" x14ac:dyDescent="0.2">
      <c r="B75" s="3" t="s">
        <v>201</v>
      </c>
      <c r="C75" s="4" t="s">
        <v>202</v>
      </c>
      <c r="D75" s="5" t="s">
        <v>69</v>
      </c>
      <c r="E75" s="5" t="s">
        <v>203</v>
      </c>
      <c r="F75" s="5" t="s">
        <v>69</v>
      </c>
      <c r="G75" s="5" t="s">
        <v>9</v>
      </c>
      <c r="H75" s="6" t="s">
        <v>6</v>
      </c>
      <c r="I75" s="6" t="s">
        <v>8</v>
      </c>
      <c r="J75" s="7">
        <v>46200000</v>
      </c>
      <c r="K75" s="7">
        <f>+(J75/F75)*(13-E75)</f>
        <v>46200000</v>
      </c>
      <c r="L75" s="6">
        <v>0</v>
      </c>
      <c r="M75" s="6">
        <v>0</v>
      </c>
      <c r="N75" s="6" t="s">
        <v>26</v>
      </c>
      <c r="O75" s="6" t="s">
        <v>3</v>
      </c>
      <c r="P75" s="6" t="s">
        <v>30</v>
      </c>
      <c r="Q75" s="6" t="s">
        <v>46</v>
      </c>
      <c r="R75" s="53" t="s">
        <v>47</v>
      </c>
    </row>
    <row r="76" spans="2:18" ht="51" x14ac:dyDescent="0.2">
      <c r="B76" s="3" t="s">
        <v>204</v>
      </c>
      <c r="C76" s="19" t="s">
        <v>205</v>
      </c>
      <c r="D76" s="5">
        <v>2</v>
      </c>
      <c r="E76" s="5">
        <v>3</v>
      </c>
      <c r="F76" s="5">
        <v>4</v>
      </c>
      <c r="G76" s="5" t="s">
        <v>9</v>
      </c>
      <c r="H76" s="6" t="s">
        <v>6</v>
      </c>
      <c r="I76" s="6" t="s">
        <v>8</v>
      </c>
      <c r="J76" s="7">
        <f>6500000*F76</f>
        <v>26000000</v>
      </c>
      <c r="K76" s="7">
        <f>+(J76/F76)*(13-E76)</f>
        <v>65000000</v>
      </c>
      <c r="L76" s="6">
        <v>0</v>
      </c>
      <c r="M76" s="6">
        <v>0</v>
      </c>
      <c r="N76" s="6" t="s">
        <v>26</v>
      </c>
      <c r="O76" s="6" t="s">
        <v>3</v>
      </c>
      <c r="P76" s="6" t="s">
        <v>30</v>
      </c>
      <c r="Q76" s="6" t="s">
        <v>46</v>
      </c>
      <c r="R76" s="53" t="s">
        <v>47</v>
      </c>
    </row>
    <row r="77" spans="2:18" ht="38.25" x14ac:dyDescent="0.2">
      <c r="B77" s="3" t="s">
        <v>65</v>
      </c>
      <c r="C77" s="4" t="s">
        <v>66</v>
      </c>
      <c r="D77" s="5" t="s">
        <v>9</v>
      </c>
      <c r="E77" s="5">
        <v>1</v>
      </c>
      <c r="F77" s="5">
        <v>4</v>
      </c>
      <c r="G77" s="5" t="s">
        <v>9</v>
      </c>
      <c r="H77" s="6" t="s">
        <v>6</v>
      </c>
      <c r="I77" s="6" t="s">
        <v>8</v>
      </c>
      <c r="J77" s="7">
        <v>95000000</v>
      </c>
      <c r="K77" s="7">
        <f>+(J77/F77)*(13-E77)</f>
        <v>285000000</v>
      </c>
      <c r="L77" s="6">
        <v>0</v>
      </c>
      <c r="M77" s="6">
        <v>0</v>
      </c>
      <c r="N77" s="6" t="s">
        <v>26</v>
      </c>
      <c r="O77" s="6" t="s">
        <v>3</v>
      </c>
      <c r="P77" s="6" t="s">
        <v>30</v>
      </c>
      <c r="Q77" s="6" t="s">
        <v>46</v>
      </c>
      <c r="R77" s="53" t="s">
        <v>47</v>
      </c>
    </row>
    <row r="78" spans="2:18" ht="76.5" x14ac:dyDescent="0.2">
      <c r="B78" s="3" t="s">
        <v>201</v>
      </c>
      <c r="C78" s="19" t="s">
        <v>206</v>
      </c>
      <c r="D78" s="5" t="s">
        <v>69</v>
      </c>
      <c r="E78" s="5" t="s">
        <v>203</v>
      </c>
      <c r="F78" s="5" t="s">
        <v>69</v>
      </c>
      <c r="G78" s="5" t="s">
        <v>9</v>
      </c>
      <c r="H78" s="6" t="s">
        <v>6</v>
      </c>
      <c r="I78" s="6" t="s">
        <v>8</v>
      </c>
      <c r="J78" s="7">
        <v>142000000</v>
      </c>
      <c r="K78" s="7">
        <v>142000000</v>
      </c>
      <c r="L78" s="6">
        <v>0</v>
      </c>
      <c r="M78" s="6">
        <v>0</v>
      </c>
      <c r="N78" s="6" t="s">
        <v>26</v>
      </c>
      <c r="O78" s="6" t="s">
        <v>3</v>
      </c>
      <c r="P78" s="6" t="s">
        <v>30</v>
      </c>
      <c r="Q78" s="6" t="s">
        <v>46</v>
      </c>
      <c r="R78" s="53" t="s">
        <v>47</v>
      </c>
    </row>
    <row r="79" spans="2:18" ht="25.5" x14ac:dyDescent="0.2">
      <c r="B79" s="3" t="s">
        <v>67</v>
      </c>
      <c r="C79" s="19" t="s">
        <v>207</v>
      </c>
      <c r="D79" s="5">
        <v>6</v>
      </c>
      <c r="E79" s="5">
        <v>7</v>
      </c>
      <c r="F79" s="5">
        <v>6</v>
      </c>
      <c r="G79" s="5">
        <v>1</v>
      </c>
      <c r="H79" s="6" t="s">
        <v>6</v>
      </c>
      <c r="I79" s="5">
        <v>0</v>
      </c>
      <c r="J79" s="7">
        <v>25000000</v>
      </c>
      <c r="K79" s="7">
        <f>+(J79/F79)*(13-E79)</f>
        <v>25000000</v>
      </c>
      <c r="L79" s="5">
        <v>0</v>
      </c>
      <c r="M79" s="5">
        <v>0</v>
      </c>
      <c r="N79" s="18" t="s">
        <v>26</v>
      </c>
      <c r="O79" s="5" t="s">
        <v>3</v>
      </c>
      <c r="P79" s="10" t="s">
        <v>30</v>
      </c>
      <c r="Q79" s="5">
        <v>3002920982</v>
      </c>
      <c r="R79" s="52" t="s">
        <v>47</v>
      </c>
    </row>
    <row r="80" spans="2:18" ht="25.5" x14ac:dyDescent="0.2">
      <c r="B80" s="3" t="s">
        <v>67</v>
      </c>
      <c r="C80" s="19" t="s">
        <v>68</v>
      </c>
      <c r="D80" s="5">
        <v>1</v>
      </c>
      <c r="E80" s="5">
        <v>1</v>
      </c>
      <c r="F80" s="5">
        <v>3</v>
      </c>
      <c r="G80" s="5">
        <v>1</v>
      </c>
      <c r="H80" s="6" t="s">
        <v>6</v>
      </c>
      <c r="I80" s="5">
        <v>0</v>
      </c>
      <c r="J80" s="7">
        <v>28000000</v>
      </c>
      <c r="K80" s="7">
        <f>+(J80/F80)*(13-E80)</f>
        <v>112000000</v>
      </c>
      <c r="L80" s="5">
        <v>0</v>
      </c>
      <c r="M80" s="5">
        <v>0</v>
      </c>
      <c r="N80" s="18" t="s">
        <v>26</v>
      </c>
      <c r="O80" s="5" t="s">
        <v>3</v>
      </c>
      <c r="P80" s="10" t="s">
        <v>30</v>
      </c>
      <c r="Q80" s="5">
        <v>3002920982</v>
      </c>
      <c r="R80" s="52" t="s">
        <v>47</v>
      </c>
    </row>
    <row r="81" spans="2:18" ht="25.5" x14ac:dyDescent="0.2">
      <c r="B81" s="3" t="s">
        <v>67</v>
      </c>
      <c r="C81" s="20" t="s">
        <v>70</v>
      </c>
      <c r="D81" s="5">
        <v>1</v>
      </c>
      <c r="E81" s="5">
        <v>1</v>
      </c>
      <c r="F81" s="5">
        <v>3</v>
      </c>
      <c r="G81" s="5">
        <v>1</v>
      </c>
      <c r="H81" s="6" t="s">
        <v>6</v>
      </c>
      <c r="I81" s="5">
        <v>0</v>
      </c>
      <c r="J81" s="7">
        <v>90000000</v>
      </c>
      <c r="K81" s="7">
        <v>90000000</v>
      </c>
      <c r="L81" s="5">
        <v>0</v>
      </c>
      <c r="M81" s="5">
        <v>0</v>
      </c>
      <c r="N81" s="18" t="s">
        <v>26</v>
      </c>
      <c r="O81" s="5" t="s">
        <v>3</v>
      </c>
      <c r="P81" s="10" t="s">
        <v>30</v>
      </c>
      <c r="Q81" s="5">
        <v>3002920982</v>
      </c>
      <c r="R81" s="52" t="s">
        <v>47</v>
      </c>
    </row>
    <row r="82" spans="2:18" ht="38.25" x14ac:dyDescent="0.2">
      <c r="B82" s="3" t="s">
        <v>71</v>
      </c>
      <c r="C82" s="20" t="s">
        <v>72</v>
      </c>
      <c r="D82" s="5">
        <v>5</v>
      </c>
      <c r="E82" s="5">
        <v>6</v>
      </c>
      <c r="F82" s="5">
        <v>3</v>
      </c>
      <c r="G82" s="5">
        <v>1</v>
      </c>
      <c r="H82" s="6" t="s">
        <v>6</v>
      </c>
      <c r="I82" s="5">
        <v>0</v>
      </c>
      <c r="J82" s="7">
        <v>60000000</v>
      </c>
      <c r="K82" s="7">
        <f>+(J82/F82)*(13-E82)</f>
        <v>140000000</v>
      </c>
      <c r="L82" s="5">
        <v>0</v>
      </c>
      <c r="M82" s="5">
        <v>0</v>
      </c>
      <c r="N82" s="18" t="s">
        <v>26</v>
      </c>
      <c r="O82" s="5" t="s">
        <v>3</v>
      </c>
      <c r="P82" s="10" t="s">
        <v>30</v>
      </c>
      <c r="Q82" s="5">
        <v>3182653800</v>
      </c>
      <c r="R82" s="55" t="s">
        <v>74</v>
      </c>
    </row>
    <row r="83" spans="2:18" ht="76.5" x14ac:dyDescent="0.2">
      <c r="B83" s="3" t="s">
        <v>208</v>
      </c>
      <c r="C83" s="20" t="s">
        <v>209</v>
      </c>
      <c r="D83" s="5">
        <v>2</v>
      </c>
      <c r="E83" s="5">
        <v>3</v>
      </c>
      <c r="F83" s="5">
        <v>3</v>
      </c>
      <c r="G83" s="5">
        <v>1</v>
      </c>
      <c r="H83" s="6" t="s">
        <v>6</v>
      </c>
      <c r="I83" s="5">
        <v>0</v>
      </c>
      <c r="J83" s="7">
        <v>278395400</v>
      </c>
      <c r="K83" s="7">
        <v>278395400</v>
      </c>
      <c r="L83" s="5">
        <v>0</v>
      </c>
      <c r="M83" s="5">
        <v>0</v>
      </c>
      <c r="N83" s="18" t="s">
        <v>26</v>
      </c>
      <c r="O83" s="5" t="s">
        <v>3</v>
      </c>
      <c r="P83" s="10" t="s">
        <v>210</v>
      </c>
      <c r="Q83" s="5">
        <v>3212918954</v>
      </c>
      <c r="R83" s="52" t="s">
        <v>211</v>
      </c>
    </row>
    <row r="84" spans="2:18" ht="25.5" x14ac:dyDescent="0.2">
      <c r="B84" s="21" t="s">
        <v>212</v>
      </c>
      <c r="C84" s="20" t="s">
        <v>213</v>
      </c>
      <c r="D84" s="5">
        <v>4</v>
      </c>
      <c r="E84" s="5">
        <v>5</v>
      </c>
      <c r="F84" s="5">
        <v>2</v>
      </c>
      <c r="G84" s="5">
        <v>1</v>
      </c>
      <c r="H84" s="6" t="s">
        <v>6</v>
      </c>
      <c r="I84" s="5">
        <v>0</v>
      </c>
      <c r="J84" s="7">
        <v>33340000</v>
      </c>
      <c r="K84" s="7">
        <f>+(J84/F84)*(13-E84)</f>
        <v>133360000</v>
      </c>
      <c r="L84" s="5">
        <v>0</v>
      </c>
      <c r="M84" s="5">
        <v>0</v>
      </c>
      <c r="N84" s="18" t="s">
        <v>26</v>
      </c>
      <c r="O84" s="5" t="s">
        <v>3</v>
      </c>
      <c r="P84" s="6" t="s">
        <v>214</v>
      </c>
      <c r="Q84" s="6">
        <v>3108734212</v>
      </c>
      <c r="R84" s="55" t="s">
        <v>215</v>
      </c>
    </row>
    <row r="85" spans="2:18" ht="25.5" x14ac:dyDescent="0.2">
      <c r="B85" s="21" t="s">
        <v>216</v>
      </c>
      <c r="C85" s="20" t="s">
        <v>217</v>
      </c>
      <c r="D85" s="5">
        <v>5</v>
      </c>
      <c r="E85" s="5">
        <v>6</v>
      </c>
      <c r="F85" s="5">
        <v>4</v>
      </c>
      <c r="G85" s="5">
        <v>1</v>
      </c>
      <c r="H85" s="6" t="s">
        <v>6</v>
      </c>
      <c r="I85" s="5">
        <v>0</v>
      </c>
      <c r="J85" s="7">
        <v>156000000</v>
      </c>
      <c r="K85" s="7">
        <f>+(J85/F85)*(13-E85)</f>
        <v>273000000</v>
      </c>
      <c r="L85" s="5">
        <v>0</v>
      </c>
      <c r="M85" s="5">
        <v>0</v>
      </c>
      <c r="N85" s="18" t="s">
        <v>26</v>
      </c>
      <c r="O85" s="5" t="s">
        <v>3</v>
      </c>
      <c r="P85" s="6" t="s">
        <v>214</v>
      </c>
      <c r="Q85" s="6">
        <v>3108734212</v>
      </c>
      <c r="R85" s="55" t="s">
        <v>215</v>
      </c>
    </row>
    <row r="86" spans="2:18" ht="25.5" x14ac:dyDescent="0.2">
      <c r="B86" s="21" t="s">
        <v>218</v>
      </c>
      <c r="C86" s="20" t="s">
        <v>219</v>
      </c>
      <c r="D86" s="5">
        <v>5</v>
      </c>
      <c r="E86" s="5">
        <v>6</v>
      </c>
      <c r="F86" s="5">
        <v>1</v>
      </c>
      <c r="G86" s="5">
        <v>1</v>
      </c>
      <c r="H86" s="6" t="s">
        <v>6</v>
      </c>
      <c r="I86" s="5">
        <v>0</v>
      </c>
      <c r="J86" s="7">
        <v>15000000</v>
      </c>
      <c r="K86" s="7">
        <v>15000000</v>
      </c>
      <c r="L86" s="5">
        <v>0</v>
      </c>
      <c r="M86" s="5">
        <v>0</v>
      </c>
      <c r="N86" s="18" t="s">
        <v>26</v>
      </c>
      <c r="O86" s="5" t="s">
        <v>3</v>
      </c>
      <c r="P86" s="6" t="s">
        <v>214</v>
      </c>
      <c r="Q86" s="6">
        <v>3108734212</v>
      </c>
      <c r="R86" s="55" t="s">
        <v>215</v>
      </c>
    </row>
    <row r="87" spans="2:18" ht="25.5" x14ac:dyDescent="0.2">
      <c r="B87" s="3" t="s">
        <v>220</v>
      </c>
      <c r="C87" s="20" t="s">
        <v>221</v>
      </c>
      <c r="D87" s="5">
        <v>4</v>
      </c>
      <c r="E87" s="5">
        <v>5</v>
      </c>
      <c r="F87" s="5">
        <v>4</v>
      </c>
      <c r="G87" s="5">
        <v>1</v>
      </c>
      <c r="H87" s="6" t="s">
        <v>6</v>
      </c>
      <c r="I87" s="5">
        <v>0</v>
      </c>
      <c r="J87" s="7">
        <f>7500000*4</f>
        <v>30000000</v>
      </c>
      <c r="K87" s="7">
        <f t="shared" ref="K87:K93" si="4">+(J87/F87)*(13-E87)</f>
        <v>60000000</v>
      </c>
      <c r="L87" s="5">
        <v>0</v>
      </c>
      <c r="M87" s="5">
        <v>0</v>
      </c>
      <c r="N87" s="18" t="s">
        <v>26</v>
      </c>
      <c r="O87" s="5" t="s">
        <v>3</v>
      </c>
      <c r="P87" s="10" t="s">
        <v>222</v>
      </c>
      <c r="Q87" s="5">
        <v>3013415850</v>
      </c>
      <c r="R87" s="55" t="s">
        <v>223</v>
      </c>
    </row>
    <row r="88" spans="2:18" ht="51" x14ac:dyDescent="0.2">
      <c r="B88" s="3" t="s">
        <v>224</v>
      </c>
      <c r="C88" s="20" t="s">
        <v>225</v>
      </c>
      <c r="D88" s="5">
        <v>4</v>
      </c>
      <c r="E88" s="5">
        <v>5</v>
      </c>
      <c r="F88" s="5">
        <v>4</v>
      </c>
      <c r="G88" s="5">
        <v>1</v>
      </c>
      <c r="H88" s="6" t="s">
        <v>6</v>
      </c>
      <c r="I88" s="5">
        <v>0</v>
      </c>
      <c r="J88" s="7">
        <f>372000000*4</f>
        <v>1488000000</v>
      </c>
      <c r="K88" s="7">
        <f t="shared" si="4"/>
        <v>2976000000</v>
      </c>
      <c r="L88" s="5">
        <v>0</v>
      </c>
      <c r="M88" s="5">
        <v>0</v>
      </c>
      <c r="N88" s="18" t="s">
        <v>26</v>
      </c>
      <c r="O88" s="5" t="s">
        <v>3</v>
      </c>
      <c r="P88" s="10" t="s">
        <v>222</v>
      </c>
      <c r="Q88" s="5">
        <v>3013415850</v>
      </c>
      <c r="R88" s="55" t="s">
        <v>223</v>
      </c>
    </row>
    <row r="89" spans="2:18" ht="25.5" x14ac:dyDescent="0.2">
      <c r="B89" s="3" t="s">
        <v>224</v>
      </c>
      <c r="C89" s="20" t="s">
        <v>226</v>
      </c>
      <c r="D89" s="5">
        <v>3</v>
      </c>
      <c r="E89" s="5">
        <v>4</v>
      </c>
      <c r="F89" s="5">
        <v>4</v>
      </c>
      <c r="G89" s="5">
        <v>1</v>
      </c>
      <c r="H89" s="6" t="s">
        <v>6</v>
      </c>
      <c r="I89" s="5">
        <v>0</v>
      </c>
      <c r="J89" s="7">
        <f>7000000*4</f>
        <v>28000000</v>
      </c>
      <c r="K89" s="7">
        <f t="shared" si="4"/>
        <v>63000000</v>
      </c>
      <c r="L89" s="5">
        <v>0</v>
      </c>
      <c r="M89" s="5">
        <v>0</v>
      </c>
      <c r="N89" s="18" t="s">
        <v>26</v>
      </c>
      <c r="O89" s="5" t="s">
        <v>3</v>
      </c>
      <c r="P89" s="10" t="s">
        <v>222</v>
      </c>
      <c r="Q89" s="5">
        <v>3013415850</v>
      </c>
      <c r="R89" s="55" t="s">
        <v>223</v>
      </c>
    </row>
    <row r="90" spans="2:18" ht="63.75" x14ac:dyDescent="0.2">
      <c r="B90" s="3" t="s">
        <v>227</v>
      </c>
      <c r="C90" s="20" t="s">
        <v>228</v>
      </c>
      <c r="D90" s="5">
        <v>3</v>
      </c>
      <c r="E90" s="5">
        <v>4</v>
      </c>
      <c r="F90" s="5">
        <v>2</v>
      </c>
      <c r="G90" s="5">
        <v>1</v>
      </c>
      <c r="H90" s="6" t="s">
        <v>6</v>
      </c>
      <c r="I90" s="5">
        <v>0</v>
      </c>
      <c r="J90" s="7">
        <f>680000000*2</f>
        <v>1360000000</v>
      </c>
      <c r="K90" s="7">
        <f t="shared" si="4"/>
        <v>6120000000</v>
      </c>
      <c r="L90" s="5">
        <v>0</v>
      </c>
      <c r="M90" s="5">
        <v>0</v>
      </c>
      <c r="N90" s="18" t="s">
        <v>26</v>
      </c>
      <c r="O90" s="5" t="s">
        <v>3</v>
      </c>
      <c r="P90" s="10" t="s">
        <v>222</v>
      </c>
      <c r="Q90" s="5">
        <v>3013415850</v>
      </c>
      <c r="R90" s="55" t="s">
        <v>223</v>
      </c>
    </row>
    <row r="91" spans="2:18" ht="25.5" x14ac:dyDescent="0.2">
      <c r="B91" s="21" t="s">
        <v>229</v>
      </c>
      <c r="C91" s="20" t="s">
        <v>230</v>
      </c>
      <c r="D91" s="5">
        <v>2</v>
      </c>
      <c r="E91" s="5">
        <v>3</v>
      </c>
      <c r="F91" s="5">
        <v>1</v>
      </c>
      <c r="G91" s="5">
        <v>1</v>
      </c>
      <c r="H91" s="6" t="s">
        <v>6</v>
      </c>
      <c r="I91" s="5">
        <v>0</v>
      </c>
      <c r="J91" s="7">
        <v>70000000</v>
      </c>
      <c r="K91" s="7">
        <f t="shared" si="4"/>
        <v>700000000</v>
      </c>
      <c r="L91" s="5">
        <v>0</v>
      </c>
      <c r="M91" s="5">
        <v>0</v>
      </c>
      <c r="N91" s="18" t="s">
        <v>26</v>
      </c>
      <c r="O91" s="5" t="s">
        <v>3</v>
      </c>
      <c r="P91" s="6" t="s">
        <v>77</v>
      </c>
      <c r="Q91" s="6" t="s">
        <v>78</v>
      </c>
      <c r="R91" s="55" t="s">
        <v>79</v>
      </c>
    </row>
    <row r="92" spans="2:18" ht="25.5" x14ac:dyDescent="0.2">
      <c r="B92" s="3" t="s">
        <v>227</v>
      </c>
      <c r="C92" s="20" t="s">
        <v>231</v>
      </c>
      <c r="D92" s="5">
        <v>2</v>
      </c>
      <c r="E92" s="5">
        <v>3</v>
      </c>
      <c r="F92" s="5">
        <v>1</v>
      </c>
      <c r="G92" s="5">
        <v>1</v>
      </c>
      <c r="H92" s="6" t="s">
        <v>6</v>
      </c>
      <c r="I92" s="5">
        <v>0</v>
      </c>
      <c r="J92" s="7">
        <f>26000000/2</f>
        <v>13000000</v>
      </c>
      <c r="K92" s="7">
        <f t="shared" si="4"/>
        <v>130000000</v>
      </c>
      <c r="L92" s="5">
        <v>0</v>
      </c>
      <c r="M92" s="5">
        <v>0</v>
      </c>
      <c r="N92" s="18" t="s">
        <v>26</v>
      </c>
      <c r="O92" s="5" t="s">
        <v>3</v>
      </c>
      <c r="P92" s="6" t="s">
        <v>77</v>
      </c>
      <c r="Q92" s="6" t="s">
        <v>78</v>
      </c>
      <c r="R92" s="55" t="s">
        <v>79</v>
      </c>
    </row>
    <row r="93" spans="2:18" ht="38.25" x14ac:dyDescent="0.2">
      <c r="B93" s="3" t="s">
        <v>232</v>
      </c>
      <c r="C93" s="20" t="s">
        <v>233</v>
      </c>
      <c r="D93" s="5">
        <v>2</v>
      </c>
      <c r="E93" s="5">
        <v>3</v>
      </c>
      <c r="F93" s="5">
        <v>1</v>
      </c>
      <c r="G93" s="5">
        <v>1</v>
      </c>
      <c r="H93" s="6" t="s">
        <v>6</v>
      </c>
      <c r="I93" s="5">
        <v>0</v>
      </c>
      <c r="J93" s="7">
        <v>40000000</v>
      </c>
      <c r="K93" s="7">
        <f t="shared" si="4"/>
        <v>400000000</v>
      </c>
      <c r="L93" s="5">
        <v>0</v>
      </c>
      <c r="M93" s="5">
        <v>0</v>
      </c>
      <c r="N93" s="18" t="s">
        <v>26</v>
      </c>
      <c r="O93" s="5" t="s">
        <v>3</v>
      </c>
      <c r="P93" s="6" t="s">
        <v>77</v>
      </c>
      <c r="Q93" s="6" t="s">
        <v>78</v>
      </c>
      <c r="R93" s="55" t="s">
        <v>79</v>
      </c>
    </row>
    <row r="94" spans="2:18" ht="25.5" x14ac:dyDescent="0.2">
      <c r="B94" s="3" t="s">
        <v>234</v>
      </c>
      <c r="C94" s="20" t="s">
        <v>235</v>
      </c>
      <c r="D94" s="5">
        <v>5</v>
      </c>
      <c r="E94" s="5">
        <v>6</v>
      </c>
      <c r="F94" s="5">
        <v>3</v>
      </c>
      <c r="G94" s="5">
        <v>1</v>
      </c>
      <c r="H94" s="6" t="s">
        <v>6</v>
      </c>
      <c r="I94" s="5">
        <v>0</v>
      </c>
      <c r="J94" s="7">
        <v>53000000</v>
      </c>
      <c r="K94" s="7">
        <v>53000000</v>
      </c>
      <c r="L94" s="5">
        <v>0</v>
      </c>
      <c r="M94" s="5">
        <v>0</v>
      </c>
      <c r="N94" s="18" t="s">
        <v>26</v>
      </c>
      <c r="O94" s="5" t="s">
        <v>3</v>
      </c>
      <c r="P94" s="6" t="s">
        <v>77</v>
      </c>
      <c r="Q94" s="6" t="s">
        <v>78</v>
      </c>
      <c r="R94" s="55" t="s">
        <v>79</v>
      </c>
    </row>
    <row r="95" spans="2:18" ht="25.5" x14ac:dyDescent="0.2">
      <c r="B95" s="21" t="s">
        <v>236</v>
      </c>
      <c r="C95" s="20" t="s">
        <v>237</v>
      </c>
      <c r="D95" s="5">
        <v>7</v>
      </c>
      <c r="E95" s="5">
        <v>8</v>
      </c>
      <c r="F95" s="5">
        <v>3</v>
      </c>
      <c r="G95" s="5">
        <v>1</v>
      </c>
      <c r="H95" s="6" t="s">
        <v>6</v>
      </c>
      <c r="I95" s="5">
        <v>0</v>
      </c>
      <c r="J95" s="7">
        <v>47680000</v>
      </c>
      <c r="K95" s="7">
        <v>47680000</v>
      </c>
      <c r="L95" s="5">
        <v>0</v>
      </c>
      <c r="M95" s="5">
        <v>0</v>
      </c>
      <c r="N95" s="18" t="s">
        <v>26</v>
      </c>
      <c r="O95" s="5" t="s">
        <v>3</v>
      </c>
      <c r="P95" s="6" t="s">
        <v>77</v>
      </c>
      <c r="Q95" s="6" t="s">
        <v>78</v>
      </c>
      <c r="R95" s="55" t="s">
        <v>79</v>
      </c>
    </row>
    <row r="96" spans="2:18" ht="25.5" x14ac:dyDescent="0.2">
      <c r="B96" s="21" t="s">
        <v>238</v>
      </c>
      <c r="C96" s="20" t="s">
        <v>239</v>
      </c>
      <c r="D96" s="5">
        <v>7</v>
      </c>
      <c r="E96" s="5">
        <v>8</v>
      </c>
      <c r="F96" s="5">
        <v>3</v>
      </c>
      <c r="G96" s="5">
        <v>1</v>
      </c>
      <c r="H96" s="6" t="s">
        <v>6</v>
      </c>
      <c r="I96" s="5">
        <v>0</v>
      </c>
      <c r="J96" s="7">
        <v>62400000</v>
      </c>
      <c r="K96" s="7">
        <v>62400000</v>
      </c>
      <c r="L96" s="5">
        <v>0</v>
      </c>
      <c r="M96" s="5">
        <v>0</v>
      </c>
      <c r="N96" s="18" t="s">
        <v>26</v>
      </c>
      <c r="O96" s="5" t="s">
        <v>3</v>
      </c>
      <c r="P96" s="6" t="s">
        <v>77</v>
      </c>
      <c r="Q96" s="6" t="s">
        <v>78</v>
      </c>
      <c r="R96" s="55" t="s">
        <v>79</v>
      </c>
    </row>
    <row r="97" spans="2:18" ht="25.5" x14ac:dyDescent="0.2">
      <c r="B97" s="21" t="s">
        <v>236</v>
      </c>
      <c r="C97" s="20" t="s">
        <v>240</v>
      </c>
      <c r="D97" s="5">
        <v>7</v>
      </c>
      <c r="E97" s="5">
        <v>8</v>
      </c>
      <c r="F97" s="5">
        <v>2</v>
      </c>
      <c r="G97" s="5">
        <v>1</v>
      </c>
      <c r="H97" s="6" t="s">
        <v>6</v>
      </c>
      <c r="I97" s="5">
        <v>0</v>
      </c>
      <c r="J97" s="7">
        <v>45000000</v>
      </c>
      <c r="K97" s="7">
        <v>45000000</v>
      </c>
      <c r="L97" s="5">
        <v>0</v>
      </c>
      <c r="M97" s="5">
        <v>0</v>
      </c>
      <c r="N97" s="18" t="s">
        <v>26</v>
      </c>
      <c r="O97" s="5" t="s">
        <v>3</v>
      </c>
      <c r="P97" s="6" t="s">
        <v>77</v>
      </c>
      <c r="Q97" s="6" t="s">
        <v>78</v>
      </c>
      <c r="R97" s="55" t="s">
        <v>79</v>
      </c>
    </row>
    <row r="98" spans="2:18" ht="25.5" x14ac:dyDescent="0.2">
      <c r="B98" s="3" t="s">
        <v>241</v>
      </c>
      <c r="C98" s="20" t="s">
        <v>242</v>
      </c>
      <c r="D98" s="5">
        <v>7</v>
      </c>
      <c r="E98" s="5">
        <v>8</v>
      </c>
      <c r="F98" s="5">
        <v>2</v>
      </c>
      <c r="G98" s="5">
        <v>1</v>
      </c>
      <c r="H98" s="6" t="s">
        <v>6</v>
      </c>
      <c r="I98" s="5">
        <v>0</v>
      </c>
      <c r="J98" s="7">
        <v>31000000</v>
      </c>
      <c r="K98" s="7">
        <v>31000000</v>
      </c>
      <c r="L98" s="5">
        <v>0</v>
      </c>
      <c r="M98" s="5">
        <v>0</v>
      </c>
      <c r="N98" s="18" t="s">
        <v>26</v>
      </c>
      <c r="O98" s="5" t="s">
        <v>3</v>
      </c>
      <c r="P98" s="6" t="s">
        <v>77</v>
      </c>
      <c r="Q98" s="6" t="s">
        <v>78</v>
      </c>
      <c r="R98" s="55" t="s">
        <v>79</v>
      </c>
    </row>
    <row r="99" spans="2:18" ht="25.5" x14ac:dyDescent="0.2">
      <c r="B99" s="21" t="s">
        <v>243</v>
      </c>
      <c r="C99" s="20" t="s">
        <v>244</v>
      </c>
      <c r="D99" s="5">
        <v>6</v>
      </c>
      <c r="E99" s="5">
        <v>7</v>
      </c>
      <c r="F99" s="5">
        <v>2</v>
      </c>
      <c r="G99" s="5">
        <v>1</v>
      </c>
      <c r="H99" s="6" t="s">
        <v>6</v>
      </c>
      <c r="I99" s="5">
        <v>0</v>
      </c>
      <c r="J99" s="7">
        <v>31000000</v>
      </c>
      <c r="K99" s="7">
        <v>31000000</v>
      </c>
      <c r="L99" s="5">
        <v>0</v>
      </c>
      <c r="M99" s="5">
        <v>0</v>
      </c>
      <c r="N99" s="18" t="s">
        <v>26</v>
      </c>
      <c r="O99" s="5" t="s">
        <v>3</v>
      </c>
      <c r="P99" s="6" t="s">
        <v>77</v>
      </c>
      <c r="Q99" s="6" t="s">
        <v>78</v>
      </c>
      <c r="R99" s="55" t="s">
        <v>79</v>
      </c>
    </row>
    <row r="100" spans="2:18" ht="89.25" x14ac:dyDescent="0.2">
      <c r="B100" s="21" t="s">
        <v>75</v>
      </c>
      <c r="C100" s="20" t="s">
        <v>76</v>
      </c>
      <c r="D100" s="5">
        <v>2</v>
      </c>
      <c r="E100" s="5">
        <v>3</v>
      </c>
      <c r="F100" s="5">
        <v>3</v>
      </c>
      <c r="G100" s="5">
        <v>1</v>
      </c>
      <c r="H100" s="6" t="s">
        <v>6</v>
      </c>
      <c r="I100" s="5">
        <v>0</v>
      </c>
      <c r="J100" s="7">
        <v>1347000000</v>
      </c>
      <c r="K100" s="7">
        <f>+(J100/F100)*(13-E100)</f>
        <v>4490000000</v>
      </c>
      <c r="L100" s="5">
        <v>0</v>
      </c>
      <c r="M100" s="5">
        <v>0</v>
      </c>
      <c r="N100" s="18" t="s">
        <v>26</v>
      </c>
      <c r="O100" s="5" t="s">
        <v>3</v>
      </c>
      <c r="P100" s="6" t="s">
        <v>77</v>
      </c>
      <c r="Q100" s="6" t="s">
        <v>78</v>
      </c>
      <c r="R100" s="55" t="s">
        <v>79</v>
      </c>
    </row>
    <row r="101" spans="2:18" ht="89.25" x14ac:dyDescent="0.2">
      <c r="B101" s="3" t="s">
        <v>245</v>
      </c>
      <c r="C101" s="20" t="s">
        <v>246</v>
      </c>
      <c r="D101" s="5">
        <v>2</v>
      </c>
      <c r="E101" s="5">
        <v>3</v>
      </c>
      <c r="F101" s="5">
        <v>1</v>
      </c>
      <c r="G101" s="5">
        <v>1</v>
      </c>
      <c r="H101" s="6" t="s">
        <v>6</v>
      </c>
      <c r="I101" s="5">
        <v>0</v>
      </c>
      <c r="J101" s="7">
        <v>13920000</v>
      </c>
      <c r="K101" s="7">
        <f>+(J101/F101)*(13-E101)</f>
        <v>139200000</v>
      </c>
      <c r="L101" s="5">
        <v>0</v>
      </c>
      <c r="M101" s="5">
        <v>0</v>
      </c>
      <c r="N101" s="18" t="s">
        <v>26</v>
      </c>
      <c r="O101" s="5" t="s">
        <v>3</v>
      </c>
      <c r="P101" s="6" t="s">
        <v>77</v>
      </c>
      <c r="Q101" s="6" t="s">
        <v>78</v>
      </c>
      <c r="R101" s="55" t="s">
        <v>79</v>
      </c>
    </row>
    <row r="102" spans="2:18" ht="25.5" x14ac:dyDescent="0.2">
      <c r="B102" s="3" t="s">
        <v>247</v>
      </c>
      <c r="C102" s="20" t="s">
        <v>248</v>
      </c>
      <c r="D102" s="5">
        <v>5</v>
      </c>
      <c r="E102" s="5">
        <v>6</v>
      </c>
      <c r="F102" s="5">
        <v>6</v>
      </c>
      <c r="G102" s="5">
        <v>1</v>
      </c>
      <c r="H102" s="6" t="s">
        <v>6</v>
      </c>
      <c r="I102" s="5">
        <v>0</v>
      </c>
      <c r="J102" s="7">
        <f>47250000-3700000</f>
        <v>43550000</v>
      </c>
      <c r="K102" s="7">
        <f>47250000-3700000</f>
        <v>43550000</v>
      </c>
      <c r="L102" s="5">
        <v>0</v>
      </c>
      <c r="M102" s="5">
        <v>0</v>
      </c>
      <c r="N102" s="18" t="s">
        <v>26</v>
      </c>
      <c r="O102" s="5" t="s">
        <v>3</v>
      </c>
      <c r="P102" s="10" t="s">
        <v>94</v>
      </c>
      <c r="Q102" s="5">
        <v>3204948379</v>
      </c>
      <c r="R102" s="52" t="s">
        <v>249</v>
      </c>
    </row>
    <row r="103" spans="2:18" ht="25.5" x14ac:dyDescent="0.2">
      <c r="B103" s="3" t="s">
        <v>247</v>
      </c>
      <c r="C103" s="20" t="s">
        <v>250</v>
      </c>
      <c r="D103" s="5">
        <v>5</v>
      </c>
      <c r="E103" s="5">
        <v>6</v>
      </c>
      <c r="F103" s="5">
        <v>6</v>
      </c>
      <c r="G103" s="5">
        <v>1</v>
      </c>
      <c r="H103" s="6" t="s">
        <v>6</v>
      </c>
      <c r="I103" s="5">
        <v>0</v>
      </c>
      <c r="J103" s="7">
        <v>30450000</v>
      </c>
      <c r="K103" s="7">
        <v>30450000</v>
      </c>
      <c r="L103" s="5">
        <v>0</v>
      </c>
      <c r="M103" s="5">
        <v>0</v>
      </c>
      <c r="N103" s="18" t="s">
        <v>26</v>
      </c>
      <c r="O103" s="5" t="s">
        <v>3</v>
      </c>
      <c r="P103" s="10" t="s">
        <v>94</v>
      </c>
      <c r="Q103" s="5">
        <v>3204948379</v>
      </c>
      <c r="R103" s="52" t="s">
        <v>249</v>
      </c>
    </row>
    <row r="104" spans="2:18" ht="38.25" x14ac:dyDescent="0.2">
      <c r="B104" s="3" t="s">
        <v>251</v>
      </c>
      <c r="C104" s="20" t="s">
        <v>252</v>
      </c>
      <c r="D104" s="5">
        <v>2</v>
      </c>
      <c r="E104" s="5">
        <v>3</v>
      </c>
      <c r="F104" s="5">
        <v>4</v>
      </c>
      <c r="G104" s="5">
        <v>1</v>
      </c>
      <c r="H104" s="6" t="s">
        <v>6</v>
      </c>
      <c r="I104" s="5">
        <v>0</v>
      </c>
      <c r="J104" s="7">
        <v>7000000</v>
      </c>
      <c r="K104" s="7">
        <v>7000000</v>
      </c>
      <c r="L104" s="5">
        <v>0</v>
      </c>
      <c r="M104" s="5">
        <v>0</v>
      </c>
      <c r="N104" s="18" t="s">
        <v>26</v>
      </c>
      <c r="O104" s="5" t="s">
        <v>3</v>
      </c>
      <c r="P104" s="10" t="s">
        <v>94</v>
      </c>
      <c r="Q104" s="5">
        <v>3204948379</v>
      </c>
      <c r="R104" s="52" t="s">
        <v>249</v>
      </c>
    </row>
    <row r="105" spans="2:18" ht="38.25" x14ac:dyDescent="0.2">
      <c r="B105" s="3" t="s">
        <v>253</v>
      </c>
      <c r="C105" s="20" t="s">
        <v>254</v>
      </c>
      <c r="D105" s="5">
        <v>5</v>
      </c>
      <c r="E105" s="5">
        <v>6</v>
      </c>
      <c r="F105" s="5">
        <v>1</v>
      </c>
      <c r="G105" s="5">
        <v>1</v>
      </c>
      <c r="H105" s="6" t="s">
        <v>6</v>
      </c>
      <c r="I105" s="5">
        <v>0</v>
      </c>
      <c r="J105" s="7">
        <v>40000000</v>
      </c>
      <c r="K105" s="7">
        <v>40000000</v>
      </c>
      <c r="L105" s="5">
        <v>0</v>
      </c>
      <c r="M105" s="5">
        <v>0</v>
      </c>
      <c r="N105" s="18" t="s">
        <v>26</v>
      </c>
      <c r="O105" s="5" t="s">
        <v>3</v>
      </c>
      <c r="P105" s="10" t="s">
        <v>94</v>
      </c>
      <c r="Q105" s="5">
        <v>3204948379</v>
      </c>
      <c r="R105" s="52" t="s">
        <v>249</v>
      </c>
    </row>
    <row r="106" spans="2:18" ht="38.25" x14ac:dyDescent="0.2">
      <c r="B106" s="3" t="s">
        <v>255</v>
      </c>
      <c r="C106" s="20" t="s">
        <v>256</v>
      </c>
      <c r="D106" s="5">
        <v>5</v>
      </c>
      <c r="E106" s="5">
        <v>6</v>
      </c>
      <c r="F106" s="5">
        <v>1</v>
      </c>
      <c r="G106" s="5">
        <v>1</v>
      </c>
      <c r="H106" s="6" t="s">
        <v>6</v>
      </c>
      <c r="I106" s="5">
        <v>0</v>
      </c>
      <c r="J106" s="7">
        <v>15000000</v>
      </c>
      <c r="K106" s="7">
        <v>15000000</v>
      </c>
      <c r="L106" s="5">
        <v>0</v>
      </c>
      <c r="M106" s="5">
        <v>0</v>
      </c>
      <c r="N106" s="18" t="s">
        <v>26</v>
      </c>
      <c r="O106" s="5" t="s">
        <v>3</v>
      </c>
      <c r="P106" s="10" t="s">
        <v>94</v>
      </c>
      <c r="Q106" s="5">
        <v>3204948379</v>
      </c>
      <c r="R106" s="52" t="s">
        <v>249</v>
      </c>
    </row>
    <row r="107" spans="2:18" ht="38.25" x14ac:dyDescent="0.2">
      <c r="B107" s="3" t="s">
        <v>257</v>
      </c>
      <c r="C107" s="20" t="s">
        <v>258</v>
      </c>
      <c r="D107" s="5">
        <v>2</v>
      </c>
      <c r="E107" s="5">
        <v>3</v>
      </c>
      <c r="F107" s="5">
        <v>2</v>
      </c>
      <c r="G107" s="5">
        <v>1</v>
      </c>
      <c r="H107" s="6" t="s">
        <v>6</v>
      </c>
      <c r="I107" s="5">
        <v>0</v>
      </c>
      <c r="J107" s="7">
        <v>30000000</v>
      </c>
      <c r="K107" s="7">
        <v>30000000</v>
      </c>
      <c r="L107" s="5">
        <v>0</v>
      </c>
      <c r="M107" s="5">
        <v>0</v>
      </c>
      <c r="N107" s="18" t="s">
        <v>26</v>
      </c>
      <c r="O107" s="5" t="s">
        <v>3</v>
      </c>
      <c r="P107" s="10" t="s">
        <v>94</v>
      </c>
      <c r="Q107" s="5">
        <v>3204948379</v>
      </c>
      <c r="R107" s="52" t="s">
        <v>249</v>
      </c>
    </row>
    <row r="108" spans="2:18" ht="63.75" x14ac:dyDescent="0.2">
      <c r="B108" s="3" t="s">
        <v>259</v>
      </c>
      <c r="C108" s="20" t="s">
        <v>260</v>
      </c>
      <c r="D108" s="5">
        <v>5</v>
      </c>
      <c r="E108" s="5">
        <v>6</v>
      </c>
      <c r="F108" s="5">
        <v>3</v>
      </c>
      <c r="G108" s="5">
        <v>1</v>
      </c>
      <c r="H108" s="6" t="s">
        <v>6</v>
      </c>
      <c r="I108" s="5">
        <v>0</v>
      </c>
      <c r="J108" s="7">
        <v>30000000</v>
      </c>
      <c r="K108" s="7">
        <v>30000000</v>
      </c>
      <c r="L108" s="5">
        <v>0</v>
      </c>
      <c r="M108" s="5">
        <v>0</v>
      </c>
      <c r="N108" s="18" t="s">
        <v>26</v>
      </c>
      <c r="O108" s="5" t="s">
        <v>3</v>
      </c>
      <c r="P108" s="10" t="s">
        <v>94</v>
      </c>
      <c r="Q108" s="5">
        <v>3204948379</v>
      </c>
      <c r="R108" s="52" t="s">
        <v>249</v>
      </c>
    </row>
    <row r="109" spans="2:18" ht="25.5" x14ac:dyDescent="0.2">
      <c r="B109" s="3" t="s">
        <v>261</v>
      </c>
      <c r="C109" s="20" t="s">
        <v>262</v>
      </c>
      <c r="D109" s="5">
        <v>3</v>
      </c>
      <c r="E109" s="5">
        <v>4</v>
      </c>
      <c r="F109" s="5">
        <v>3</v>
      </c>
      <c r="G109" s="5">
        <v>1</v>
      </c>
      <c r="H109" s="6" t="s">
        <v>6</v>
      </c>
      <c r="I109" s="5">
        <v>0</v>
      </c>
      <c r="J109" s="7">
        <f>17775000*3</f>
        <v>53325000</v>
      </c>
      <c r="K109" s="7">
        <f>+(J109/F109)*(13-E109)</f>
        <v>159975000</v>
      </c>
      <c r="L109" s="5">
        <v>0</v>
      </c>
      <c r="M109" s="5">
        <v>0</v>
      </c>
      <c r="N109" s="18" t="s">
        <v>26</v>
      </c>
      <c r="O109" s="5" t="s">
        <v>3</v>
      </c>
      <c r="P109" s="10" t="s">
        <v>94</v>
      </c>
      <c r="Q109" s="5">
        <v>3204948379</v>
      </c>
      <c r="R109" s="52" t="s">
        <v>249</v>
      </c>
    </row>
    <row r="110" spans="2:18" ht="25.5" x14ac:dyDescent="0.2">
      <c r="B110" s="3" t="s">
        <v>263</v>
      </c>
      <c r="C110" s="20" t="s">
        <v>264</v>
      </c>
      <c r="D110" s="5">
        <v>5</v>
      </c>
      <c r="E110" s="5">
        <v>6</v>
      </c>
      <c r="F110" s="5">
        <v>7</v>
      </c>
      <c r="G110" s="5">
        <v>1</v>
      </c>
      <c r="H110" s="6" t="s">
        <v>6</v>
      </c>
      <c r="I110" s="5">
        <v>0</v>
      </c>
      <c r="J110" s="7">
        <v>210000000</v>
      </c>
      <c r="K110" s="7">
        <v>210000000</v>
      </c>
      <c r="L110" s="5">
        <v>0</v>
      </c>
      <c r="M110" s="5">
        <v>0</v>
      </c>
      <c r="N110" s="18" t="s">
        <v>26</v>
      </c>
      <c r="O110" s="5" t="s">
        <v>3</v>
      </c>
      <c r="P110" s="10" t="s">
        <v>94</v>
      </c>
      <c r="Q110" s="5">
        <v>3204948379</v>
      </c>
      <c r="R110" s="52" t="s">
        <v>249</v>
      </c>
    </row>
    <row r="111" spans="2:18" ht="25.5" x14ac:dyDescent="0.2">
      <c r="B111" s="22" t="s">
        <v>265</v>
      </c>
      <c r="C111" s="20" t="s">
        <v>266</v>
      </c>
      <c r="D111" s="23">
        <v>2</v>
      </c>
      <c r="E111" s="10">
        <v>3</v>
      </c>
      <c r="F111" s="23">
        <v>4</v>
      </c>
      <c r="G111" s="6" t="s">
        <v>9</v>
      </c>
      <c r="H111" s="6" t="s">
        <v>6</v>
      </c>
      <c r="I111" s="6" t="s">
        <v>8</v>
      </c>
      <c r="J111" s="7">
        <v>18400000</v>
      </c>
      <c r="K111" s="7">
        <f t="shared" ref="K111:K116" si="5">+(J111/F111)*(13-E111)</f>
        <v>46000000</v>
      </c>
      <c r="L111" s="6" t="s">
        <v>8</v>
      </c>
      <c r="M111" s="6" t="s">
        <v>8</v>
      </c>
      <c r="N111" s="6" t="s">
        <v>26</v>
      </c>
      <c r="O111" s="6" t="s">
        <v>3</v>
      </c>
      <c r="P111" s="23" t="s">
        <v>27</v>
      </c>
      <c r="Q111" s="23">
        <v>3132428948</v>
      </c>
      <c r="R111" s="53" t="s">
        <v>28</v>
      </c>
    </row>
    <row r="112" spans="2:18" ht="25.5" x14ac:dyDescent="0.2">
      <c r="B112" s="22" t="s">
        <v>267</v>
      </c>
      <c r="C112" s="20" t="s">
        <v>268</v>
      </c>
      <c r="D112" s="23">
        <v>4</v>
      </c>
      <c r="E112" s="10">
        <v>5</v>
      </c>
      <c r="F112" s="5">
        <v>4</v>
      </c>
      <c r="G112" s="6" t="s">
        <v>9</v>
      </c>
      <c r="H112" s="6" t="s">
        <v>6</v>
      </c>
      <c r="I112" s="6" t="s">
        <v>8</v>
      </c>
      <c r="J112" s="7">
        <f>505000000*4</f>
        <v>2020000000</v>
      </c>
      <c r="K112" s="7">
        <f t="shared" si="5"/>
        <v>4040000000</v>
      </c>
      <c r="L112" s="6" t="s">
        <v>8</v>
      </c>
      <c r="M112" s="6" t="s">
        <v>8</v>
      </c>
      <c r="N112" s="6" t="s">
        <v>26</v>
      </c>
      <c r="O112" s="6" t="s">
        <v>3</v>
      </c>
      <c r="P112" s="23" t="s">
        <v>27</v>
      </c>
      <c r="Q112" s="23">
        <v>3132428948</v>
      </c>
      <c r="R112" s="53" t="s">
        <v>28</v>
      </c>
    </row>
    <row r="113" spans="2:18" ht="25.5" x14ac:dyDescent="0.2">
      <c r="B113" s="66" t="s">
        <v>269</v>
      </c>
      <c r="C113" s="20" t="s">
        <v>270</v>
      </c>
      <c r="D113" s="23">
        <v>11</v>
      </c>
      <c r="E113" s="10">
        <v>12</v>
      </c>
      <c r="F113" s="5">
        <v>2</v>
      </c>
      <c r="G113" s="6" t="s">
        <v>9</v>
      </c>
      <c r="H113" s="6" t="s">
        <v>6</v>
      </c>
      <c r="I113" s="6" t="s">
        <v>8</v>
      </c>
      <c r="J113" s="7">
        <v>12000000</v>
      </c>
      <c r="K113" s="7">
        <f t="shared" si="5"/>
        <v>6000000</v>
      </c>
      <c r="L113" s="6" t="s">
        <v>8</v>
      </c>
      <c r="M113" s="6" t="s">
        <v>8</v>
      </c>
      <c r="N113" s="6" t="s">
        <v>26</v>
      </c>
      <c r="O113" s="6" t="s">
        <v>3</v>
      </c>
      <c r="P113" s="23" t="s">
        <v>27</v>
      </c>
      <c r="Q113" s="23">
        <v>3132428948</v>
      </c>
      <c r="R113" s="53" t="s">
        <v>28</v>
      </c>
    </row>
    <row r="114" spans="2:18" ht="25.5" x14ac:dyDescent="0.2">
      <c r="B114" s="22" t="s">
        <v>271</v>
      </c>
      <c r="C114" s="20" t="s">
        <v>272</v>
      </c>
      <c r="D114" s="23">
        <v>4</v>
      </c>
      <c r="E114" s="10">
        <v>5</v>
      </c>
      <c r="F114" s="23">
        <v>4</v>
      </c>
      <c r="G114" s="6" t="s">
        <v>9</v>
      </c>
      <c r="H114" s="6" t="s">
        <v>6</v>
      </c>
      <c r="I114" s="6" t="s">
        <v>8</v>
      </c>
      <c r="J114" s="7">
        <f>150000000*F114</f>
        <v>600000000</v>
      </c>
      <c r="K114" s="7">
        <f t="shared" si="5"/>
        <v>1200000000</v>
      </c>
      <c r="L114" s="6" t="s">
        <v>8</v>
      </c>
      <c r="M114" s="6" t="s">
        <v>8</v>
      </c>
      <c r="N114" s="6" t="s">
        <v>26</v>
      </c>
      <c r="O114" s="6" t="s">
        <v>3</v>
      </c>
      <c r="P114" s="23" t="s">
        <v>27</v>
      </c>
      <c r="Q114" s="23">
        <v>3132428948</v>
      </c>
      <c r="R114" s="53" t="s">
        <v>28</v>
      </c>
    </row>
    <row r="115" spans="2:18" ht="25.5" x14ac:dyDescent="0.2">
      <c r="B115" s="22" t="s">
        <v>269</v>
      </c>
      <c r="C115" s="20" t="s">
        <v>273</v>
      </c>
      <c r="D115" s="10">
        <v>11</v>
      </c>
      <c r="E115" s="10">
        <v>12</v>
      </c>
      <c r="F115" s="10">
        <v>2</v>
      </c>
      <c r="G115" s="6" t="s">
        <v>9</v>
      </c>
      <c r="H115" s="6" t="s">
        <v>6</v>
      </c>
      <c r="I115" s="6" t="s">
        <v>8</v>
      </c>
      <c r="J115" s="7">
        <v>12000000</v>
      </c>
      <c r="K115" s="7">
        <f t="shared" si="5"/>
        <v>6000000</v>
      </c>
      <c r="L115" s="6" t="s">
        <v>8</v>
      </c>
      <c r="M115" s="6" t="s">
        <v>8</v>
      </c>
      <c r="N115" s="6" t="s">
        <v>26</v>
      </c>
      <c r="O115" s="6" t="s">
        <v>3</v>
      </c>
      <c r="P115" s="23" t="s">
        <v>27</v>
      </c>
      <c r="Q115" s="23">
        <v>3132428948</v>
      </c>
      <c r="R115" s="53" t="s">
        <v>28</v>
      </c>
    </row>
    <row r="116" spans="2:18" ht="25.5" x14ac:dyDescent="0.2">
      <c r="B116" s="22" t="s">
        <v>274</v>
      </c>
      <c r="C116" s="20" t="s">
        <v>275</v>
      </c>
      <c r="D116" s="10">
        <v>4</v>
      </c>
      <c r="E116" s="10">
        <v>5</v>
      </c>
      <c r="F116" s="10">
        <v>4</v>
      </c>
      <c r="G116" s="6" t="s">
        <v>9</v>
      </c>
      <c r="H116" s="6" t="s">
        <v>6</v>
      </c>
      <c r="I116" s="6" t="s">
        <v>8</v>
      </c>
      <c r="J116" s="7">
        <f>150000000*F116</f>
        <v>600000000</v>
      </c>
      <c r="K116" s="7">
        <f t="shared" si="5"/>
        <v>1200000000</v>
      </c>
      <c r="L116" s="6" t="s">
        <v>8</v>
      </c>
      <c r="M116" s="6" t="s">
        <v>8</v>
      </c>
      <c r="N116" s="6" t="s">
        <v>26</v>
      </c>
      <c r="O116" s="6" t="s">
        <v>3</v>
      </c>
      <c r="P116" s="23" t="s">
        <v>27</v>
      </c>
      <c r="Q116" s="23">
        <v>3132428948</v>
      </c>
      <c r="R116" s="53" t="s">
        <v>28</v>
      </c>
    </row>
    <row r="117" spans="2:18" ht="38.25" x14ac:dyDescent="0.2">
      <c r="B117" s="22" t="s">
        <v>276</v>
      </c>
      <c r="C117" s="20" t="s">
        <v>277</v>
      </c>
      <c r="D117" s="10">
        <v>4</v>
      </c>
      <c r="E117" s="10">
        <v>5</v>
      </c>
      <c r="F117" s="10">
        <v>12</v>
      </c>
      <c r="G117" s="6" t="s">
        <v>9</v>
      </c>
      <c r="H117" s="6" t="s">
        <v>6</v>
      </c>
      <c r="I117" s="6" t="s">
        <v>8</v>
      </c>
      <c r="J117" s="7">
        <v>10000000</v>
      </c>
      <c r="K117" s="7">
        <v>10000000</v>
      </c>
      <c r="L117" s="6" t="s">
        <v>8</v>
      </c>
      <c r="M117" s="6" t="s">
        <v>8</v>
      </c>
      <c r="N117" s="6" t="s">
        <v>26</v>
      </c>
      <c r="O117" s="6" t="s">
        <v>3</v>
      </c>
      <c r="P117" s="23" t="s">
        <v>27</v>
      </c>
      <c r="Q117" s="23">
        <v>3132428948</v>
      </c>
      <c r="R117" s="53" t="s">
        <v>28</v>
      </c>
    </row>
    <row r="118" spans="2:18" ht="25.5" x14ac:dyDescent="0.2">
      <c r="B118" s="22" t="s">
        <v>278</v>
      </c>
      <c r="C118" s="20" t="s">
        <v>279</v>
      </c>
      <c r="D118" s="10">
        <v>3</v>
      </c>
      <c r="E118" s="10">
        <v>4</v>
      </c>
      <c r="F118" s="10">
        <v>12</v>
      </c>
      <c r="G118" s="6" t="s">
        <v>9</v>
      </c>
      <c r="H118" s="6" t="s">
        <v>6</v>
      </c>
      <c r="I118" s="6" t="s">
        <v>8</v>
      </c>
      <c r="J118" s="7">
        <v>14000000</v>
      </c>
      <c r="K118" s="7">
        <v>14000000</v>
      </c>
      <c r="L118" s="6" t="s">
        <v>8</v>
      </c>
      <c r="M118" s="6" t="s">
        <v>8</v>
      </c>
      <c r="N118" s="6" t="s">
        <v>26</v>
      </c>
      <c r="O118" s="6" t="s">
        <v>3</v>
      </c>
      <c r="P118" s="23" t="s">
        <v>27</v>
      </c>
      <c r="Q118" s="23">
        <v>3132428948</v>
      </c>
      <c r="R118" s="53" t="s">
        <v>28</v>
      </c>
    </row>
    <row r="119" spans="2:18" ht="51" x14ac:dyDescent="0.2">
      <c r="B119" s="22" t="s">
        <v>280</v>
      </c>
      <c r="C119" s="20" t="s">
        <v>281</v>
      </c>
      <c r="D119" s="10">
        <v>2</v>
      </c>
      <c r="E119" s="10">
        <v>2</v>
      </c>
      <c r="F119" s="10">
        <v>4</v>
      </c>
      <c r="G119" s="6" t="s">
        <v>9</v>
      </c>
      <c r="H119" s="6" t="s">
        <v>6</v>
      </c>
      <c r="I119" s="6" t="s">
        <v>8</v>
      </c>
      <c r="J119" s="7">
        <f>900000000*4</f>
        <v>3600000000</v>
      </c>
      <c r="K119" s="7">
        <f t="shared" ref="K119:K127" si="6">+(J119/F119)*(13-E119)</f>
        <v>9900000000</v>
      </c>
      <c r="L119" s="6" t="s">
        <v>8</v>
      </c>
      <c r="M119" s="6" t="s">
        <v>8</v>
      </c>
      <c r="N119" s="6" t="s">
        <v>26</v>
      </c>
      <c r="O119" s="6" t="s">
        <v>3</v>
      </c>
      <c r="P119" s="23" t="s">
        <v>27</v>
      </c>
      <c r="Q119" s="23">
        <v>3132428948</v>
      </c>
      <c r="R119" s="53" t="s">
        <v>28</v>
      </c>
    </row>
    <row r="120" spans="2:18" ht="25.5" x14ac:dyDescent="0.2">
      <c r="B120" s="22" t="s">
        <v>282</v>
      </c>
      <c r="C120" s="20" t="s">
        <v>283</v>
      </c>
      <c r="D120" s="10">
        <v>2</v>
      </c>
      <c r="E120" s="10">
        <v>3</v>
      </c>
      <c r="F120" s="10">
        <v>4</v>
      </c>
      <c r="G120" s="6" t="s">
        <v>9</v>
      </c>
      <c r="H120" s="6" t="s">
        <v>6</v>
      </c>
      <c r="I120" s="6" t="s">
        <v>8</v>
      </c>
      <c r="J120" s="7">
        <f>100000000*4</f>
        <v>400000000</v>
      </c>
      <c r="K120" s="7">
        <f t="shared" si="6"/>
        <v>1000000000</v>
      </c>
      <c r="L120" s="6" t="s">
        <v>8</v>
      </c>
      <c r="M120" s="6" t="s">
        <v>8</v>
      </c>
      <c r="N120" s="6" t="s">
        <v>26</v>
      </c>
      <c r="O120" s="6" t="s">
        <v>3</v>
      </c>
      <c r="P120" s="23" t="s">
        <v>27</v>
      </c>
      <c r="Q120" s="23">
        <v>3132428948</v>
      </c>
      <c r="R120" s="53" t="s">
        <v>28</v>
      </c>
    </row>
    <row r="121" spans="2:18" ht="38.25" x14ac:dyDescent="0.2">
      <c r="B121" s="22" t="s">
        <v>284</v>
      </c>
      <c r="C121" s="20" t="s">
        <v>285</v>
      </c>
      <c r="D121" s="10">
        <v>2</v>
      </c>
      <c r="E121" s="10">
        <v>3</v>
      </c>
      <c r="F121" s="10">
        <v>4</v>
      </c>
      <c r="G121" s="6" t="s">
        <v>9</v>
      </c>
      <c r="H121" s="6" t="s">
        <v>6</v>
      </c>
      <c r="I121" s="6" t="s">
        <v>8</v>
      </c>
      <c r="J121" s="7">
        <v>36000000</v>
      </c>
      <c r="K121" s="7">
        <f t="shared" si="6"/>
        <v>90000000</v>
      </c>
      <c r="L121" s="6" t="s">
        <v>8</v>
      </c>
      <c r="M121" s="6" t="s">
        <v>8</v>
      </c>
      <c r="N121" s="6" t="s">
        <v>26</v>
      </c>
      <c r="O121" s="6" t="s">
        <v>3</v>
      </c>
      <c r="P121" s="23" t="s">
        <v>27</v>
      </c>
      <c r="Q121" s="23">
        <v>3132428948</v>
      </c>
      <c r="R121" s="53" t="s">
        <v>28</v>
      </c>
    </row>
    <row r="122" spans="2:18" ht="38.25" x14ac:dyDescent="0.2">
      <c r="B122" s="22" t="s">
        <v>286</v>
      </c>
      <c r="C122" s="20" t="s">
        <v>287</v>
      </c>
      <c r="D122" s="10">
        <v>2</v>
      </c>
      <c r="E122" s="10">
        <v>3</v>
      </c>
      <c r="F122" s="10">
        <v>4</v>
      </c>
      <c r="G122" s="6" t="s">
        <v>9</v>
      </c>
      <c r="H122" s="6" t="s">
        <v>6</v>
      </c>
      <c r="I122" s="6" t="s">
        <v>8</v>
      </c>
      <c r="J122" s="7">
        <f>50000000*F122</f>
        <v>200000000</v>
      </c>
      <c r="K122" s="7">
        <f t="shared" si="6"/>
        <v>500000000</v>
      </c>
      <c r="L122" s="6" t="s">
        <v>8</v>
      </c>
      <c r="M122" s="6" t="s">
        <v>8</v>
      </c>
      <c r="N122" s="6" t="s">
        <v>26</v>
      </c>
      <c r="O122" s="6" t="s">
        <v>3</v>
      </c>
      <c r="P122" s="23" t="s">
        <v>27</v>
      </c>
      <c r="Q122" s="23">
        <v>3132428948</v>
      </c>
      <c r="R122" s="53" t="s">
        <v>28</v>
      </c>
    </row>
    <row r="123" spans="2:18" ht="25.5" x14ac:dyDescent="0.2">
      <c r="B123" s="22" t="s">
        <v>288</v>
      </c>
      <c r="C123" s="20" t="s">
        <v>289</v>
      </c>
      <c r="D123" s="10">
        <v>3</v>
      </c>
      <c r="E123" s="10">
        <v>4</v>
      </c>
      <c r="F123" s="10">
        <v>4</v>
      </c>
      <c r="G123" s="6" t="s">
        <v>9</v>
      </c>
      <c r="H123" s="6" t="s">
        <v>6</v>
      </c>
      <c r="I123" s="6" t="s">
        <v>8</v>
      </c>
      <c r="J123" s="7">
        <f>60000000*F123</f>
        <v>240000000</v>
      </c>
      <c r="K123" s="7">
        <f t="shared" si="6"/>
        <v>540000000</v>
      </c>
      <c r="L123" s="6" t="s">
        <v>8</v>
      </c>
      <c r="M123" s="6" t="s">
        <v>8</v>
      </c>
      <c r="N123" s="6" t="s">
        <v>26</v>
      </c>
      <c r="O123" s="6" t="s">
        <v>3</v>
      </c>
      <c r="P123" s="23" t="s">
        <v>27</v>
      </c>
      <c r="Q123" s="23">
        <v>3132428948</v>
      </c>
      <c r="R123" s="53" t="s">
        <v>28</v>
      </c>
    </row>
    <row r="124" spans="2:18" ht="25.5" x14ac:dyDescent="0.2">
      <c r="B124" s="22" t="s">
        <v>290</v>
      </c>
      <c r="C124" s="20" t="s">
        <v>291</v>
      </c>
      <c r="D124" s="10">
        <v>11</v>
      </c>
      <c r="E124" s="10">
        <v>12</v>
      </c>
      <c r="F124" s="10">
        <v>2</v>
      </c>
      <c r="G124" s="6" t="s">
        <v>9</v>
      </c>
      <c r="H124" s="6" t="s">
        <v>6</v>
      </c>
      <c r="I124" s="6" t="s">
        <v>8</v>
      </c>
      <c r="J124" s="7">
        <f>12000000*F124</f>
        <v>24000000</v>
      </c>
      <c r="K124" s="7">
        <f t="shared" si="6"/>
        <v>12000000</v>
      </c>
      <c r="L124" s="6" t="s">
        <v>8</v>
      </c>
      <c r="M124" s="6" t="s">
        <v>8</v>
      </c>
      <c r="N124" s="6" t="s">
        <v>26</v>
      </c>
      <c r="O124" s="6" t="s">
        <v>3</v>
      </c>
      <c r="P124" s="23" t="s">
        <v>27</v>
      </c>
      <c r="Q124" s="23">
        <v>3132428948</v>
      </c>
      <c r="R124" s="53" t="s">
        <v>28</v>
      </c>
    </row>
    <row r="125" spans="2:18" ht="25.5" x14ac:dyDescent="0.2">
      <c r="B125" s="67" t="s">
        <v>22</v>
      </c>
      <c r="C125" s="20" t="s">
        <v>23</v>
      </c>
      <c r="D125" s="23">
        <v>1</v>
      </c>
      <c r="E125" s="10">
        <v>2</v>
      </c>
      <c r="F125" s="23">
        <v>4</v>
      </c>
      <c r="G125" s="6" t="s">
        <v>9</v>
      </c>
      <c r="H125" s="6" t="s">
        <v>6</v>
      </c>
      <c r="I125" s="6" t="s">
        <v>8</v>
      </c>
      <c r="J125" s="7">
        <v>2600000000</v>
      </c>
      <c r="K125" s="7">
        <f t="shared" si="6"/>
        <v>7150000000</v>
      </c>
      <c r="L125" s="6" t="s">
        <v>8</v>
      </c>
      <c r="M125" s="6" t="s">
        <v>8</v>
      </c>
      <c r="N125" s="6" t="s">
        <v>26</v>
      </c>
      <c r="O125" s="6" t="s">
        <v>3</v>
      </c>
      <c r="P125" s="23" t="s">
        <v>27</v>
      </c>
      <c r="Q125" s="23">
        <v>3132428948</v>
      </c>
      <c r="R125" s="53" t="s">
        <v>28</v>
      </c>
    </row>
    <row r="126" spans="2:18" ht="38.25" x14ac:dyDescent="0.2">
      <c r="B126" s="22" t="s">
        <v>292</v>
      </c>
      <c r="C126" s="20" t="s">
        <v>293</v>
      </c>
      <c r="D126" s="24" t="s">
        <v>62</v>
      </c>
      <c r="E126" s="24" t="s">
        <v>69</v>
      </c>
      <c r="F126" s="6" t="s">
        <v>25</v>
      </c>
      <c r="G126" s="6" t="s">
        <v>9</v>
      </c>
      <c r="H126" s="6" t="s">
        <v>6</v>
      </c>
      <c r="I126" s="6" t="s">
        <v>8</v>
      </c>
      <c r="J126" s="7">
        <f>30000000*F126</f>
        <v>120000000</v>
      </c>
      <c r="K126" s="7">
        <f t="shared" si="6"/>
        <v>210000000</v>
      </c>
      <c r="L126" s="6" t="s">
        <v>8</v>
      </c>
      <c r="M126" s="6" t="s">
        <v>8</v>
      </c>
      <c r="N126" s="6" t="s">
        <v>26</v>
      </c>
      <c r="O126" s="6" t="s">
        <v>3</v>
      </c>
      <c r="P126" s="23" t="s">
        <v>27</v>
      </c>
      <c r="Q126" s="6" t="s">
        <v>294</v>
      </c>
      <c r="R126" s="56" t="s">
        <v>28</v>
      </c>
    </row>
    <row r="127" spans="2:18" ht="25.5" x14ac:dyDescent="0.2">
      <c r="B127" s="68" t="s">
        <v>267</v>
      </c>
      <c r="C127" s="20" t="s">
        <v>295</v>
      </c>
      <c r="D127" s="25">
        <v>3</v>
      </c>
      <c r="E127" s="25">
        <v>4</v>
      </c>
      <c r="F127" s="25">
        <v>4</v>
      </c>
      <c r="G127" s="25">
        <v>1</v>
      </c>
      <c r="H127" s="6" t="s">
        <v>6</v>
      </c>
      <c r="I127" s="25">
        <v>0</v>
      </c>
      <c r="J127" s="7">
        <f>25000000*F127</f>
        <v>100000000</v>
      </c>
      <c r="K127" s="7">
        <f t="shared" si="6"/>
        <v>225000000</v>
      </c>
      <c r="L127" s="25">
        <v>0</v>
      </c>
      <c r="M127" s="25">
        <v>0</v>
      </c>
      <c r="N127" s="6" t="s">
        <v>26</v>
      </c>
      <c r="O127" s="6" t="s">
        <v>3</v>
      </c>
      <c r="P127" s="23" t="s">
        <v>27</v>
      </c>
      <c r="Q127" s="6" t="s">
        <v>294</v>
      </c>
      <c r="R127" s="56" t="s">
        <v>28</v>
      </c>
    </row>
    <row r="128" spans="2:18" ht="25.5" x14ac:dyDescent="0.2">
      <c r="B128" s="69" t="s">
        <v>296</v>
      </c>
      <c r="C128" s="20" t="s">
        <v>297</v>
      </c>
      <c r="D128" s="25">
        <v>5</v>
      </c>
      <c r="E128" s="25">
        <v>6</v>
      </c>
      <c r="F128" s="25">
        <v>12</v>
      </c>
      <c r="G128" s="25">
        <v>1</v>
      </c>
      <c r="H128" s="6" t="s">
        <v>6</v>
      </c>
      <c r="I128" s="25">
        <v>0</v>
      </c>
      <c r="J128" s="7">
        <v>20000000</v>
      </c>
      <c r="K128" s="7">
        <v>20000000</v>
      </c>
      <c r="L128" s="25">
        <v>0</v>
      </c>
      <c r="M128" s="25">
        <v>0</v>
      </c>
      <c r="N128" s="6" t="s">
        <v>26</v>
      </c>
      <c r="O128" s="6" t="s">
        <v>3</v>
      </c>
      <c r="P128" s="23" t="s">
        <v>27</v>
      </c>
      <c r="Q128" s="6" t="s">
        <v>294</v>
      </c>
      <c r="R128" s="56" t="s">
        <v>28</v>
      </c>
    </row>
    <row r="129" spans="2:18" ht="25.5" x14ac:dyDescent="0.2">
      <c r="B129" s="68" t="s">
        <v>298</v>
      </c>
      <c r="C129" s="20" t="s">
        <v>299</v>
      </c>
      <c r="D129" s="26">
        <v>2</v>
      </c>
      <c r="E129" s="26">
        <v>3</v>
      </c>
      <c r="F129" s="27">
        <v>12</v>
      </c>
      <c r="G129" s="28">
        <v>1</v>
      </c>
      <c r="H129" s="6" t="s">
        <v>6</v>
      </c>
      <c r="I129" s="25">
        <v>0</v>
      </c>
      <c r="J129" s="7">
        <v>7800000</v>
      </c>
      <c r="K129" s="7">
        <v>7800000</v>
      </c>
      <c r="L129" s="25">
        <v>0</v>
      </c>
      <c r="M129" s="25">
        <v>0</v>
      </c>
      <c r="N129" s="6" t="s">
        <v>26</v>
      </c>
      <c r="O129" s="6" t="s">
        <v>3</v>
      </c>
      <c r="P129" s="23" t="s">
        <v>27</v>
      </c>
      <c r="Q129" s="6" t="s">
        <v>294</v>
      </c>
      <c r="R129" s="56" t="s">
        <v>28</v>
      </c>
    </row>
    <row r="130" spans="2:18" ht="51" x14ac:dyDescent="0.2">
      <c r="B130" s="68" t="s">
        <v>300</v>
      </c>
      <c r="C130" s="20" t="s">
        <v>301</v>
      </c>
      <c r="D130" s="26">
        <v>5</v>
      </c>
      <c r="E130" s="26">
        <v>6</v>
      </c>
      <c r="F130" s="27">
        <v>4</v>
      </c>
      <c r="G130" s="28">
        <v>1</v>
      </c>
      <c r="H130" s="6" t="s">
        <v>6</v>
      </c>
      <c r="I130" s="25">
        <v>0</v>
      </c>
      <c r="J130" s="7">
        <f>220000000*F130</f>
        <v>880000000</v>
      </c>
      <c r="K130" s="7">
        <f>+(J130/F130)*(13-E130)</f>
        <v>1540000000</v>
      </c>
      <c r="L130" s="25">
        <v>0</v>
      </c>
      <c r="M130" s="25">
        <v>0</v>
      </c>
      <c r="N130" s="6" t="s">
        <v>26</v>
      </c>
      <c r="O130" s="6" t="s">
        <v>3</v>
      </c>
      <c r="P130" s="23" t="s">
        <v>27</v>
      </c>
      <c r="Q130" s="6" t="s">
        <v>294</v>
      </c>
      <c r="R130" s="56" t="s">
        <v>28</v>
      </c>
    </row>
    <row r="131" spans="2:18" ht="51" x14ac:dyDescent="0.2">
      <c r="B131" s="68" t="s">
        <v>302</v>
      </c>
      <c r="C131" s="20" t="s">
        <v>303</v>
      </c>
      <c r="D131" s="26">
        <v>2</v>
      </c>
      <c r="E131" s="26">
        <v>3</v>
      </c>
      <c r="F131" s="27">
        <v>3</v>
      </c>
      <c r="G131" s="28">
        <v>1</v>
      </c>
      <c r="H131" s="6" t="s">
        <v>6</v>
      </c>
      <c r="I131" s="25">
        <v>0</v>
      </c>
      <c r="J131" s="7">
        <f>200000000*F131</f>
        <v>600000000</v>
      </c>
      <c r="K131" s="7">
        <f>+(J131/F131)*(13-E131)</f>
        <v>2000000000</v>
      </c>
      <c r="L131" s="25">
        <v>0</v>
      </c>
      <c r="M131" s="25">
        <v>0</v>
      </c>
      <c r="N131" s="6" t="s">
        <v>26</v>
      </c>
      <c r="O131" s="6" t="s">
        <v>3</v>
      </c>
      <c r="P131" s="23" t="s">
        <v>27</v>
      </c>
      <c r="Q131" s="6" t="s">
        <v>294</v>
      </c>
      <c r="R131" s="56" t="s">
        <v>28</v>
      </c>
    </row>
    <row r="132" spans="2:18" ht="38.25" x14ac:dyDescent="0.2">
      <c r="B132" s="70" t="s">
        <v>304</v>
      </c>
      <c r="C132" s="20" t="s">
        <v>305</v>
      </c>
      <c r="D132" s="29" t="s">
        <v>62</v>
      </c>
      <c r="E132" s="29" t="s">
        <v>69</v>
      </c>
      <c r="F132" s="17" t="s">
        <v>188</v>
      </c>
      <c r="G132" s="17" t="s">
        <v>9</v>
      </c>
      <c r="H132" s="17" t="s">
        <v>6</v>
      </c>
      <c r="I132" s="17" t="s">
        <v>8</v>
      </c>
      <c r="J132" s="7">
        <v>12000000</v>
      </c>
      <c r="K132" s="7">
        <v>12000000</v>
      </c>
      <c r="L132" s="17" t="s">
        <v>8</v>
      </c>
      <c r="M132" s="17" t="s">
        <v>8</v>
      </c>
      <c r="N132" s="17" t="s">
        <v>26</v>
      </c>
      <c r="O132" s="17" t="s">
        <v>3</v>
      </c>
      <c r="P132" s="17" t="s">
        <v>306</v>
      </c>
      <c r="Q132" s="17" t="s">
        <v>307</v>
      </c>
      <c r="R132" s="57" t="s">
        <v>308</v>
      </c>
    </row>
    <row r="133" spans="2:18" ht="63.75" x14ac:dyDescent="0.2">
      <c r="B133" s="70" t="s">
        <v>309</v>
      </c>
      <c r="C133" s="20" t="s">
        <v>310</v>
      </c>
      <c r="D133" s="17">
        <v>8</v>
      </c>
      <c r="E133" s="17">
        <v>9</v>
      </c>
      <c r="F133" s="17" t="s">
        <v>188</v>
      </c>
      <c r="G133" s="17" t="s">
        <v>9</v>
      </c>
      <c r="H133" s="17" t="s">
        <v>6</v>
      </c>
      <c r="I133" s="17" t="s">
        <v>8</v>
      </c>
      <c r="J133" s="7">
        <v>500000000</v>
      </c>
      <c r="K133" s="7">
        <v>500000000</v>
      </c>
      <c r="L133" s="17" t="s">
        <v>8</v>
      </c>
      <c r="M133" s="17" t="s">
        <v>8</v>
      </c>
      <c r="N133" s="17" t="s">
        <v>26</v>
      </c>
      <c r="O133" s="17" t="s">
        <v>3</v>
      </c>
      <c r="P133" s="17" t="s">
        <v>41</v>
      </c>
      <c r="Q133" s="17" t="s">
        <v>42</v>
      </c>
      <c r="R133" s="58" t="s">
        <v>43</v>
      </c>
    </row>
    <row r="134" spans="2:18" ht="63.75" x14ac:dyDescent="0.2">
      <c r="B134" s="70" t="s">
        <v>311</v>
      </c>
      <c r="C134" s="20" t="s">
        <v>312</v>
      </c>
      <c r="D134" s="17" t="s">
        <v>24</v>
      </c>
      <c r="E134" s="17" t="s">
        <v>34</v>
      </c>
      <c r="F134" s="17" t="s">
        <v>24</v>
      </c>
      <c r="G134" s="17" t="s">
        <v>9</v>
      </c>
      <c r="H134" s="17" t="s">
        <v>6</v>
      </c>
      <c r="I134" s="17" t="s">
        <v>8</v>
      </c>
      <c r="J134" s="7">
        <v>13500000</v>
      </c>
      <c r="K134" s="7">
        <v>54000000</v>
      </c>
      <c r="L134" s="17" t="s">
        <v>8</v>
      </c>
      <c r="M134" s="17" t="s">
        <v>8</v>
      </c>
      <c r="N134" s="17" t="s">
        <v>26</v>
      </c>
      <c r="O134" s="17" t="s">
        <v>3</v>
      </c>
      <c r="P134" s="17" t="s">
        <v>41</v>
      </c>
      <c r="Q134" s="17" t="s">
        <v>42</v>
      </c>
      <c r="R134" s="58" t="s">
        <v>43</v>
      </c>
    </row>
    <row r="135" spans="2:18" ht="38.25" x14ac:dyDescent="0.2">
      <c r="B135" s="70" t="s">
        <v>313</v>
      </c>
      <c r="C135" s="20" t="s">
        <v>314</v>
      </c>
      <c r="D135" s="17" t="s">
        <v>34</v>
      </c>
      <c r="E135" s="17" t="s">
        <v>25</v>
      </c>
      <c r="F135" s="17" t="s">
        <v>188</v>
      </c>
      <c r="G135" s="17" t="s">
        <v>9</v>
      </c>
      <c r="H135" s="17" t="s">
        <v>6</v>
      </c>
      <c r="I135" s="17" t="s">
        <v>8</v>
      </c>
      <c r="J135" s="7">
        <v>83000000</v>
      </c>
      <c r="K135" s="7">
        <v>83000000</v>
      </c>
      <c r="L135" s="17" t="s">
        <v>8</v>
      </c>
      <c r="M135" s="17" t="s">
        <v>8</v>
      </c>
      <c r="N135" s="17" t="s">
        <v>26</v>
      </c>
      <c r="O135" s="17" t="s">
        <v>3</v>
      </c>
      <c r="P135" s="17" t="s">
        <v>41</v>
      </c>
      <c r="Q135" s="17" t="s">
        <v>42</v>
      </c>
      <c r="R135" s="58" t="s">
        <v>43</v>
      </c>
    </row>
    <row r="136" spans="2:18" ht="51" x14ac:dyDescent="0.2">
      <c r="B136" s="70" t="s">
        <v>315</v>
      </c>
      <c r="C136" s="20" t="s">
        <v>316</v>
      </c>
      <c r="D136" s="17" t="s">
        <v>34</v>
      </c>
      <c r="E136" s="17" t="s">
        <v>25</v>
      </c>
      <c r="F136" s="17" t="s">
        <v>34</v>
      </c>
      <c r="G136" s="17" t="s">
        <v>9</v>
      </c>
      <c r="H136" s="17" t="s">
        <v>6</v>
      </c>
      <c r="I136" s="17" t="s">
        <v>8</v>
      </c>
      <c r="J136" s="7">
        <v>405000000</v>
      </c>
      <c r="K136" s="7">
        <f>+(J136/F136)*(13-E136)</f>
        <v>1215000000</v>
      </c>
      <c r="L136" s="17" t="s">
        <v>8</v>
      </c>
      <c r="M136" s="17" t="s">
        <v>8</v>
      </c>
      <c r="N136" s="17" t="s">
        <v>26</v>
      </c>
      <c r="O136" s="17" t="s">
        <v>3</v>
      </c>
      <c r="P136" s="17" t="s">
        <v>41</v>
      </c>
      <c r="Q136" s="17" t="s">
        <v>42</v>
      </c>
      <c r="R136" s="58" t="s">
        <v>43</v>
      </c>
    </row>
    <row r="137" spans="2:18" ht="51" x14ac:dyDescent="0.2">
      <c r="B137" s="70" t="s">
        <v>317</v>
      </c>
      <c r="C137" s="20" t="s">
        <v>318</v>
      </c>
      <c r="D137" s="17" t="s">
        <v>69</v>
      </c>
      <c r="E137" s="17" t="s">
        <v>203</v>
      </c>
      <c r="F137" s="17" t="s">
        <v>9</v>
      </c>
      <c r="G137" s="17" t="s">
        <v>9</v>
      </c>
      <c r="H137" s="17" t="s">
        <v>6</v>
      </c>
      <c r="I137" s="17" t="s">
        <v>8</v>
      </c>
      <c r="J137" s="7">
        <v>14000000</v>
      </c>
      <c r="K137" s="7">
        <v>14000000</v>
      </c>
      <c r="L137" s="17" t="s">
        <v>8</v>
      </c>
      <c r="M137" s="17" t="s">
        <v>8</v>
      </c>
      <c r="N137" s="17" t="s">
        <v>26</v>
      </c>
      <c r="O137" s="17" t="s">
        <v>3</v>
      </c>
      <c r="P137" s="17" t="s">
        <v>41</v>
      </c>
      <c r="Q137" s="17" t="s">
        <v>42</v>
      </c>
      <c r="R137" s="58" t="s">
        <v>43</v>
      </c>
    </row>
    <row r="138" spans="2:18" ht="63.75" x14ac:dyDescent="0.2">
      <c r="B138" s="70" t="s">
        <v>82</v>
      </c>
      <c r="C138" s="20" t="s">
        <v>83</v>
      </c>
      <c r="D138" s="17" t="s">
        <v>9</v>
      </c>
      <c r="E138" s="17" t="s">
        <v>24</v>
      </c>
      <c r="F138" s="17" t="s">
        <v>34</v>
      </c>
      <c r="G138" s="17" t="s">
        <v>9</v>
      </c>
      <c r="H138" s="17" t="s">
        <v>6</v>
      </c>
      <c r="I138" s="17" t="s">
        <v>8</v>
      </c>
      <c r="J138" s="7">
        <v>3625000</v>
      </c>
      <c r="K138" s="7">
        <f>+(J138/F138)*(13-E138)</f>
        <v>13291666.666666666</v>
      </c>
      <c r="L138" s="17" t="s">
        <v>8</v>
      </c>
      <c r="M138" s="17" t="s">
        <v>8</v>
      </c>
      <c r="N138" s="17" t="s">
        <v>26</v>
      </c>
      <c r="O138" s="17" t="s">
        <v>3</v>
      </c>
      <c r="P138" s="17" t="s">
        <v>41</v>
      </c>
      <c r="Q138" s="17" t="s">
        <v>42</v>
      </c>
      <c r="R138" s="58" t="s">
        <v>43</v>
      </c>
    </row>
    <row r="139" spans="2:18" ht="38.25" x14ac:dyDescent="0.2">
      <c r="B139" s="70" t="s">
        <v>39</v>
      </c>
      <c r="C139" s="20" t="s">
        <v>40</v>
      </c>
      <c r="D139" s="17" t="s">
        <v>9</v>
      </c>
      <c r="E139" s="17" t="s">
        <v>24</v>
      </c>
      <c r="F139" s="17" t="s">
        <v>34</v>
      </c>
      <c r="G139" s="17" t="s">
        <v>9</v>
      </c>
      <c r="H139" s="17" t="s">
        <v>6</v>
      </c>
      <c r="I139" s="17" t="s">
        <v>8</v>
      </c>
      <c r="J139" s="7">
        <v>11501400</v>
      </c>
      <c r="K139" s="7">
        <f>+(J139/F139)*(13-E139)</f>
        <v>42171800</v>
      </c>
      <c r="L139" s="17" t="s">
        <v>8</v>
      </c>
      <c r="M139" s="17" t="s">
        <v>8</v>
      </c>
      <c r="N139" s="17" t="s">
        <v>26</v>
      </c>
      <c r="O139" s="17" t="s">
        <v>3</v>
      </c>
      <c r="P139" s="17" t="s">
        <v>41</v>
      </c>
      <c r="Q139" s="17" t="s">
        <v>42</v>
      </c>
      <c r="R139" s="58" t="s">
        <v>43</v>
      </c>
    </row>
    <row r="140" spans="2:18" ht="38.25" x14ac:dyDescent="0.2">
      <c r="B140" s="70" t="s">
        <v>319</v>
      </c>
      <c r="C140" s="20" t="s">
        <v>320</v>
      </c>
      <c r="D140" s="17" t="s">
        <v>24</v>
      </c>
      <c r="E140" s="17" t="s">
        <v>34</v>
      </c>
      <c r="F140" s="17" t="s">
        <v>24</v>
      </c>
      <c r="G140" s="17" t="s">
        <v>9</v>
      </c>
      <c r="H140" s="17" t="s">
        <v>6</v>
      </c>
      <c r="I140" s="17" t="s">
        <v>8</v>
      </c>
      <c r="J140" s="7">
        <v>5000000</v>
      </c>
      <c r="K140" s="7">
        <f>+(J140/F140)*(13-E140)</f>
        <v>25000000</v>
      </c>
      <c r="L140" s="17" t="s">
        <v>8</v>
      </c>
      <c r="M140" s="17" t="s">
        <v>8</v>
      </c>
      <c r="N140" s="17" t="s">
        <v>26</v>
      </c>
      <c r="O140" s="17" t="s">
        <v>3</v>
      </c>
      <c r="P140" s="17" t="s">
        <v>41</v>
      </c>
      <c r="Q140" s="17" t="s">
        <v>42</v>
      </c>
      <c r="R140" s="58" t="s">
        <v>43</v>
      </c>
    </row>
    <row r="141" spans="2:18" ht="38.25" x14ac:dyDescent="0.2">
      <c r="B141" s="70" t="s">
        <v>319</v>
      </c>
      <c r="C141" s="20" t="s">
        <v>321</v>
      </c>
      <c r="D141" s="17" t="s">
        <v>24</v>
      </c>
      <c r="E141" s="17" t="s">
        <v>34</v>
      </c>
      <c r="F141" s="17" t="s">
        <v>34</v>
      </c>
      <c r="G141" s="17" t="s">
        <v>9</v>
      </c>
      <c r="H141" s="17" t="s">
        <v>6</v>
      </c>
      <c r="I141" s="17" t="s">
        <v>8</v>
      </c>
      <c r="J141" s="7">
        <v>5000000</v>
      </c>
      <c r="K141" s="7">
        <f>+(J141/F141)*(13-E141)</f>
        <v>16666666.666666668</v>
      </c>
      <c r="L141" s="17" t="s">
        <v>8</v>
      </c>
      <c r="M141" s="17" t="s">
        <v>8</v>
      </c>
      <c r="N141" s="17" t="s">
        <v>26</v>
      </c>
      <c r="O141" s="17" t="s">
        <v>3</v>
      </c>
      <c r="P141" s="17" t="s">
        <v>41</v>
      </c>
      <c r="Q141" s="17" t="s">
        <v>42</v>
      </c>
      <c r="R141" s="58" t="s">
        <v>43</v>
      </c>
    </row>
    <row r="142" spans="2:18" ht="38.25" x14ac:dyDescent="0.2">
      <c r="B142" s="70" t="s">
        <v>80</v>
      </c>
      <c r="C142" s="20" t="s">
        <v>81</v>
      </c>
      <c r="D142" s="17" t="s">
        <v>9</v>
      </c>
      <c r="E142" s="17" t="s">
        <v>9</v>
      </c>
      <c r="F142" s="17" t="s">
        <v>25</v>
      </c>
      <c r="G142" s="17" t="s">
        <v>9</v>
      </c>
      <c r="H142" s="17" t="s">
        <v>6</v>
      </c>
      <c r="I142" s="17" t="s">
        <v>8</v>
      </c>
      <c r="J142" s="7">
        <v>306666667</v>
      </c>
      <c r="K142" s="7">
        <f>+(J142/F142)*(13-E142)</f>
        <v>920000001</v>
      </c>
      <c r="L142" s="17" t="s">
        <v>8</v>
      </c>
      <c r="M142" s="17" t="s">
        <v>8</v>
      </c>
      <c r="N142" s="17" t="s">
        <v>26</v>
      </c>
      <c r="O142" s="17" t="s">
        <v>3</v>
      </c>
      <c r="P142" s="17" t="s">
        <v>41</v>
      </c>
      <c r="Q142" s="17" t="s">
        <v>42</v>
      </c>
      <c r="R142" s="58" t="s">
        <v>43</v>
      </c>
    </row>
    <row r="143" spans="2:18" ht="25.5" x14ac:dyDescent="0.2">
      <c r="B143" s="71" t="s">
        <v>322</v>
      </c>
      <c r="C143" s="30" t="s">
        <v>84</v>
      </c>
      <c r="D143" s="17" t="s">
        <v>9</v>
      </c>
      <c r="E143" s="17" t="s">
        <v>9</v>
      </c>
      <c r="F143" s="17" t="s">
        <v>69</v>
      </c>
      <c r="G143" s="17" t="s">
        <v>9</v>
      </c>
      <c r="H143" s="17" t="s">
        <v>6</v>
      </c>
      <c r="I143" s="17" t="s">
        <v>8</v>
      </c>
      <c r="J143" s="8">
        <v>512500000</v>
      </c>
      <c r="K143" s="8">
        <v>512500000</v>
      </c>
      <c r="L143" s="17" t="s">
        <v>8</v>
      </c>
      <c r="M143" s="17" t="s">
        <v>8</v>
      </c>
      <c r="N143" s="17" t="s">
        <v>26</v>
      </c>
      <c r="O143" s="17" t="s">
        <v>3</v>
      </c>
      <c r="P143" s="17" t="s">
        <v>85</v>
      </c>
      <c r="Q143" s="31">
        <v>3012832313</v>
      </c>
      <c r="R143" s="59" t="s">
        <v>86</v>
      </c>
    </row>
    <row r="144" spans="2:18" ht="25.5" x14ac:dyDescent="0.2">
      <c r="B144" s="70" t="s">
        <v>323</v>
      </c>
      <c r="C144" s="20" t="s">
        <v>87</v>
      </c>
      <c r="D144" s="6" t="s">
        <v>9</v>
      </c>
      <c r="E144" s="6" t="s">
        <v>9</v>
      </c>
      <c r="F144" s="6" t="s">
        <v>69</v>
      </c>
      <c r="G144" s="6" t="s">
        <v>9</v>
      </c>
      <c r="H144" s="6" t="s">
        <v>6</v>
      </c>
      <c r="I144" s="6" t="s">
        <v>8</v>
      </c>
      <c r="J144" s="7">
        <v>67632780</v>
      </c>
      <c r="K144" s="7">
        <v>67632780</v>
      </c>
      <c r="L144" s="6" t="s">
        <v>8</v>
      </c>
      <c r="M144" s="6" t="s">
        <v>8</v>
      </c>
      <c r="N144" s="6" t="s">
        <v>26</v>
      </c>
      <c r="O144" s="6" t="s">
        <v>3</v>
      </c>
      <c r="P144" s="6" t="s">
        <v>85</v>
      </c>
      <c r="Q144" s="5">
        <v>3012832313</v>
      </c>
      <c r="R144" s="60" t="s">
        <v>86</v>
      </c>
    </row>
    <row r="145" spans="2:18" ht="25.5" x14ac:dyDescent="0.2">
      <c r="B145" s="72" t="s">
        <v>324</v>
      </c>
      <c r="C145" s="30" t="s">
        <v>325</v>
      </c>
      <c r="D145" s="6">
        <v>1</v>
      </c>
      <c r="E145" s="6">
        <v>1</v>
      </c>
      <c r="F145" s="24" t="s">
        <v>62</v>
      </c>
      <c r="G145" s="6" t="s">
        <v>9</v>
      </c>
      <c r="H145" s="6" t="s">
        <v>6</v>
      </c>
      <c r="I145" s="6" t="s">
        <v>8</v>
      </c>
      <c r="J145" s="7">
        <f>858811465*5</f>
        <v>4294057325</v>
      </c>
      <c r="K145" s="7">
        <f>+(J145/F145)*(13-E145)</f>
        <v>10305737580</v>
      </c>
      <c r="L145" s="6" t="s">
        <v>8</v>
      </c>
      <c r="M145" s="6" t="s">
        <v>8</v>
      </c>
      <c r="N145" s="6" t="s">
        <v>26</v>
      </c>
      <c r="O145" s="6" t="s">
        <v>3</v>
      </c>
      <c r="P145" s="6" t="s">
        <v>326</v>
      </c>
      <c r="Q145" s="5">
        <v>3219006466</v>
      </c>
      <c r="R145" s="32" t="s">
        <v>327</v>
      </c>
    </row>
    <row r="146" spans="2:18" ht="25.5" x14ac:dyDescent="0.2">
      <c r="B146" s="67" t="s">
        <v>324</v>
      </c>
      <c r="C146" s="20" t="s">
        <v>328</v>
      </c>
      <c r="D146" s="6" t="s">
        <v>9</v>
      </c>
      <c r="E146" s="6" t="s">
        <v>9</v>
      </c>
      <c r="F146" s="24" t="s">
        <v>62</v>
      </c>
      <c r="G146" s="6" t="s">
        <v>9</v>
      </c>
      <c r="H146" s="6" t="s">
        <v>6</v>
      </c>
      <c r="I146" s="6" t="s">
        <v>8</v>
      </c>
      <c r="J146" s="7">
        <f>1348677786*5</f>
        <v>6743388930</v>
      </c>
      <c r="K146" s="7">
        <f>+(J146/F146)*(13-E146)</f>
        <v>16184133432</v>
      </c>
      <c r="L146" s="6" t="s">
        <v>8</v>
      </c>
      <c r="M146" s="6" t="s">
        <v>8</v>
      </c>
      <c r="N146" s="6" t="s">
        <v>26</v>
      </c>
      <c r="O146" s="6" t="s">
        <v>3</v>
      </c>
      <c r="P146" s="6" t="s">
        <v>326</v>
      </c>
      <c r="Q146" s="5">
        <v>3219006466</v>
      </c>
      <c r="R146" s="32" t="s">
        <v>327</v>
      </c>
    </row>
    <row r="147" spans="2:18" ht="25.5" x14ac:dyDescent="0.2">
      <c r="B147" s="67" t="s">
        <v>324</v>
      </c>
      <c r="C147" s="20" t="s">
        <v>329</v>
      </c>
      <c r="D147" s="6" t="s">
        <v>9</v>
      </c>
      <c r="E147" s="6" t="s">
        <v>9</v>
      </c>
      <c r="F147" s="24" t="s">
        <v>62</v>
      </c>
      <c r="G147" s="6" t="s">
        <v>9</v>
      </c>
      <c r="H147" s="6" t="s">
        <v>6</v>
      </c>
      <c r="I147" s="6" t="s">
        <v>8</v>
      </c>
      <c r="J147" s="7">
        <f>10003945937*5</f>
        <v>50019729685</v>
      </c>
      <c r="K147" s="7">
        <f>+(J147/F147)*(13-E147)</f>
        <v>120047351244</v>
      </c>
      <c r="L147" s="6" t="s">
        <v>8</v>
      </c>
      <c r="M147" s="6" t="s">
        <v>8</v>
      </c>
      <c r="N147" s="6" t="s">
        <v>26</v>
      </c>
      <c r="O147" s="6" t="s">
        <v>3</v>
      </c>
      <c r="P147" s="6" t="s">
        <v>330</v>
      </c>
      <c r="Q147" s="5">
        <v>3219006466</v>
      </c>
      <c r="R147" s="32" t="s">
        <v>327</v>
      </c>
    </row>
    <row r="148" spans="2:18" ht="26.25" thickBot="1" x14ac:dyDescent="0.25">
      <c r="B148" s="73" t="s">
        <v>324</v>
      </c>
      <c r="C148" s="33" t="s">
        <v>331</v>
      </c>
      <c r="D148" s="34" t="s">
        <v>9</v>
      </c>
      <c r="E148" s="34" t="s">
        <v>9</v>
      </c>
      <c r="F148" s="35" t="s">
        <v>62</v>
      </c>
      <c r="G148" s="34" t="s">
        <v>9</v>
      </c>
      <c r="H148" s="34" t="s">
        <v>6</v>
      </c>
      <c r="I148" s="34" t="s">
        <v>8</v>
      </c>
      <c r="J148" s="36">
        <f>2381361183*5</f>
        <v>11906805915</v>
      </c>
      <c r="K148" s="36">
        <f>+(J148/F148)*(13-E148)</f>
        <v>28576334196</v>
      </c>
      <c r="L148" s="34" t="s">
        <v>8</v>
      </c>
      <c r="M148" s="34" t="s">
        <v>8</v>
      </c>
      <c r="N148" s="34" t="s">
        <v>26</v>
      </c>
      <c r="O148" s="34" t="s">
        <v>3</v>
      </c>
      <c r="P148" s="34" t="s">
        <v>77</v>
      </c>
      <c r="Q148" s="34" t="s">
        <v>78</v>
      </c>
      <c r="R148" s="61" t="s">
        <v>327</v>
      </c>
    </row>
  </sheetData>
  <mergeCells count="2">
    <mergeCell ref="B3:R5"/>
    <mergeCell ref="B2:R2"/>
  </mergeCells>
  <hyperlinks>
    <hyperlink ref="R142" r:id="rId1"/>
    <hyperlink ref="R141" r:id="rId2"/>
    <hyperlink ref="R140" r:id="rId3"/>
    <hyperlink ref="R139" r:id="rId4"/>
    <hyperlink ref="R138" r:id="rId5"/>
    <hyperlink ref="R137" r:id="rId6"/>
    <hyperlink ref="R136" r:id="rId7"/>
    <hyperlink ref="R135" r:id="rId8"/>
    <hyperlink ref="R134" r:id="rId9"/>
    <hyperlink ref="R133" r:id="rId10"/>
    <hyperlink ref="R110" r:id="rId11"/>
    <hyperlink ref="R109" r:id="rId12"/>
    <hyperlink ref="R108" r:id="rId13"/>
    <hyperlink ref="R107" r:id="rId14"/>
    <hyperlink ref="R106" r:id="rId15"/>
    <hyperlink ref="R105" r:id="rId16"/>
    <hyperlink ref="R104" r:id="rId17"/>
    <hyperlink ref="R103" r:id="rId18"/>
    <hyperlink ref="R102" r:id="rId19"/>
    <hyperlink ref="R32" r:id="rId20"/>
    <hyperlink ref="R81" r:id="rId21"/>
    <hyperlink ref="R80" r:id="rId22"/>
    <hyperlink ref="R79" r:id="rId23"/>
    <hyperlink ref="R27" r:id="rId24"/>
    <hyperlink ref="R29" r:id="rId25"/>
    <hyperlink ref="R9" r:id="rId26"/>
    <hyperlink ref="R56" r:id="rId27"/>
    <hyperlink ref="R62" r:id="rId28"/>
    <hyperlink ref="R24" r:id="rId29"/>
    <hyperlink ref="R78" r:id="rId30"/>
    <hyperlink ref="R77" r:id="rId31"/>
    <hyperlink ref="R76" r:id="rId32"/>
    <hyperlink ref="R74" r:id="rId33"/>
    <hyperlink ref="R75" r:id="rId34"/>
    <hyperlink ref="R73" r:id="rId35"/>
    <hyperlink ref="R66" r:id="rId36"/>
    <hyperlink ref="R65" r:id="rId37"/>
    <hyperlink ref="R61:R70" r:id="rId38" display="biomedica@subredsur.gov.co"/>
    <hyperlink ref="R59:R60" r:id="rId39" display="biomedica@subredsur.gov.co"/>
    <hyperlink ref="R58" r:id="rId40"/>
    <hyperlink ref="R57" r:id="rId41"/>
    <hyperlink ref="R55" r:id="rId42"/>
    <hyperlink ref="R54" r:id="rId43"/>
    <hyperlink ref="R53" r:id="rId44"/>
    <hyperlink ref="R52" r:id="rId45"/>
    <hyperlink ref="R51" r:id="rId46"/>
    <hyperlink ref="R50" r:id="rId47"/>
    <hyperlink ref="R49" r:id="rId48"/>
    <hyperlink ref="R48" r:id="rId49"/>
    <hyperlink ref="R41" r:id="rId50"/>
    <hyperlink ref="R31" r:id="rId51"/>
    <hyperlink ref="R30" r:id="rId52"/>
    <hyperlink ref="R28" r:id="rId53"/>
    <hyperlink ref="R23" r:id="rId54"/>
    <hyperlink ref="R25" r:id="rId55"/>
    <hyperlink ref="R17:R19" r:id="rId56" display="recursosfisicosmeissen@subredsur.gov.co"/>
    <hyperlink ref="R15" r:id="rId57"/>
    <hyperlink ref="R14" r:id="rId58"/>
    <hyperlink ref="R13" r:id="rId59"/>
    <hyperlink ref="R12" r:id="rId60"/>
    <hyperlink ref="R22" r:id="rId61"/>
    <hyperlink ref="R21" r:id="rId62"/>
    <hyperlink ref="R20" r:id="rId63"/>
    <hyperlink ref="R19" r:id="rId64"/>
    <hyperlink ref="R11" r:id="rId65"/>
    <hyperlink ref="R40" r:id="rId66"/>
    <hyperlink ref="R39" r:id="rId67"/>
    <hyperlink ref="R38" r:id="rId68"/>
    <hyperlink ref="R26" r:id="rId69"/>
    <hyperlink ref="R37" r:id="rId70"/>
    <hyperlink ref="R33" r:id="rId71"/>
    <hyperlink ref="R10" r:id="rId72"/>
    <hyperlink ref="R8" r:id="rId73"/>
    <hyperlink ref="R7" r:id="rId74"/>
    <hyperlink ref="R34" r:id="rId75"/>
  </hyperlinks>
  <pageMargins left="0.75" right="0.75" top="1" bottom="1" header="0.5" footer="0.5"/>
  <pageSetup orientation="portrait" r:id="rId76"/>
  <ignoredErrors>
    <ignoredError sqref="J7:K7 J8:K15" unlockedFormula="1"/>
  </ignoredErrors>
  <drawing r:id="rId77"/>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AD1PLA05</dc:creator>
  <cp:keywords/>
  <dc:description/>
  <cp:lastModifiedBy>AD1PLA05</cp:lastModifiedBy>
  <dcterms:created xsi:type="dcterms:W3CDTF">2020-01-29T22:41:46Z</dcterms:created>
  <dcterms:modified xsi:type="dcterms:W3CDTF">2020-01-30T17:46:08Z</dcterms:modified>
  <cp:category/>
  <cp:contentStatus/>
</cp:coreProperties>
</file>