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ad1pla05\Desktop\"/>
    </mc:Choice>
  </mc:AlternateContent>
  <bookViews>
    <workbookView xWindow="0" yWindow="0" windowWidth="24000" windowHeight="8835"/>
  </bookViews>
  <sheets>
    <sheet name="Adquisiciones  " sheetId="2" r:id="rId1"/>
  </sheets>
  <calcPr calcId="152511"/>
</workbook>
</file>

<file path=xl/calcChain.xml><?xml version="1.0" encoding="utf-8"?>
<calcChain xmlns="http://schemas.openxmlformats.org/spreadsheetml/2006/main">
  <c r="J148" i="2" l="1"/>
  <c r="K148" i="2" s="1"/>
  <c r="J147" i="2"/>
  <c r="K147" i="2" s="1"/>
  <c r="J146" i="2"/>
  <c r="K146" i="2" s="1"/>
  <c r="J145" i="2"/>
  <c r="K145" i="2" s="1"/>
  <c r="K142" i="2"/>
  <c r="K141" i="2"/>
  <c r="K140" i="2"/>
  <c r="K139" i="2"/>
  <c r="K138" i="2"/>
  <c r="K136" i="2"/>
  <c r="J131" i="2"/>
  <c r="K131" i="2" s="1"/>
  <c r="K130" i="2"/>
  <c r="J130" i="2"/>
  <c r="J127" i="2"/>
  <c r="K127" i="2" s="1"/>
  <c r="J126" i="2"/>
  <c r="K126" i="2" s="1"/>
  <c r="K125" i="2"/>
  <c r="K124" i="2"/>
  <c r="J124" i="2"/>
  <c r="K123" i="2"/>
  <c r="J123" i="2"/>
  <c r="J122" i="2"/>
  <c r="K122" i="2" s="1"/>
  <c r="K121" i="2"/>
  <c r="J120" i="2"/>
  <c r="K120" i="2" s="1"/>
  <c r="J119" i="2"/>
  <c r="K119" i="2" s="1"/>
  <c r="J116" i="2"/>
  <c r="K116" i="2" s="1"/>
  <c r="K115" i="2"/>
  <c r="K114" i="2"/>
  <c r="J114" i="2"/>
  <c r="K113" i="2"/>
  <c r="K112" i="2"/>
  <c r="J112" i="2"/>
  <c r="K111" i="2"/>
  <c r="K109" i="2"/>
  <c r="J109" i="2"/>
  <c r="K102" i="2"/>
  <c r="J102" i="2"/>
  <c r="K101" i="2"/>
  <c r="K100" i="2"/>
  <c r="K93" i="2"/>
  <c r="J92" i="2"/>
  <c r="K92" i="2" s="1"/>
  <c r="K91" i="2"/>
  <c r="K90" i="2"/>
  <c r="J90" i="2"/>
  <c r="K89" i="2"/>
  <c r="J89" i="2"/>
  <c r="K88" i="2"/>
  <c r="J88" i="2"/>
  <c r="K87" i="2"/>
  <c r="J87" i="2"/>
  <c r="K85" i="2"/>
  <c r="K84" i="2"/>
  <c r="K82" i="2"/>
  <c r="K80" i="2"/>
  <c r="K79" i="2"/>
  <c r="K77" i="2"/>
  <c r="K76" i="2"/>
  <c r="J76" i="2"/>
  <c r="K75" i="2"/>
  <c r="K74" i="2"/>
  <c r="K71" i="2"/>
  <c r="J71" i="2"/>
  <c r="K68" i="2"/>
  <c r="K66" i="2"/>
  <c r="K65" i="2"/>
  <c r="K64" i="2"/>
  <c r="K63" i="2"/>
  <c r="J62" i="2"/>
  <c r="K62" i="2" s="1"/>
  <c r="J61" i="2"/>
  <c r="K61" i="2" s="1"/>
  <c r="K59" i="2"/>
  <c r="K58" i="2"/>
  <c r="J58" i="2"/>
  <c r="K55" i="2"/>
  <c r="K54" i="2"/>
  <c r="K53" i="2"/>
  <c r="K52" i="2"/>
  <c r="K51" i="2"/>
  <c r="K50" i="2"/>
  <c r="K49" i="2"/>
  <c r="J49" i="2"/>
  <c r="K48" i="2"/>
  <c r="J47" i="2"/>
  <c r="K47" i="2" s="1"/>
  <c r="K46" i="2"/>
  <c r="J46" i="2"/>
  <c r="K45" i="2"/>
  <c r="K44" i="2"/>
  <c r="J43" i="2"/>
  <c r="K43" i="2" s="1"/>
  <c r="J42" i="2"/>
  <c r="K42" i="2" s="1"/>
  <c r="K41" i="2"/>
  <c r="K40" i="2"/>
  <c r="K39" i="2"/>
  <c r="K38" i="2"/>
  <c r="J37" i="2"/>
  <c r="K37" i="2" s="1"/>
  <c r="J36" i="2"/>
  <c r="K36" i="2" s="1"/>
  <c r="K35" i="2"/>
  <c r="J35" i="2"/>
  <c r="J34" i="2"/>
  <c r="K34" i="2" s="1"/>
  <c r="K33" i="2"/>
  <c r="K32" i="2"/>
  <c r="J32" i="2"/>
  <c r="K31" i="2"/>
  <c r="K30" i="2"/>
  <c r="J30" i="2"/>
  <c r="J28" i="2"/>
  <c r="K28" i="2" s="1"/>
  <c r="J26" i="2"/>
  <c r="K26" i="2" s="1"/>
  <c r="K25" i="2"/>
  <c r="K24" i="2"/>
  <c r="K23" i="2"/>
  <c r="K22" i="2"/>
  <c r="J21" i="2"/>
  <c r="K21" i="2" s="1"/>
  <c r="K20" i="2"/>
  <c r="K19" i="2"/>
  <c r="J18" i="2"/>
  <c r="K18" i="2" s="1"/>
  <c r="K17" i="2"/>
  <c r="K16" i="2"/>
  <c r="K15" i="2"/>
  <c r="K14" i="2"/>
  <c r="J14" i="2"/>
  <c r="K13" i="2"/>
  <c r="J12" i="2"/>
  <c r="K12" i="2" s="1"/>
  <c r="J11" i="2"/>
  <c r="K11" i="2" s="1"/>
  <c r="J10" i="2"/>
  <c r="K10" i="2" s="1"/>
  <c r="J8" i="2"/>
  <c r="K8" i="2" s="1"/>
  <c r="J7" i="2"/>
  <c r="K7" i="2" s="1"/>
</calcChain>
</file>

<file path=xl/sharedStrings.xml><?xml version="1.0" encoding="utf-8"?>
<sst xmlns="http://schemas.openxmlformats.org/spreadsheetml/2006/main" count="1367" uniqueCount="333">
  <si>
    <t>Ubicación</t>
  </si>
  <si>
    <t xml:space="preserve">Modalidad de selección </t>
  </si>
  <si>
    <t>Duración estimada del contrato (intervalo: días, meses, años)</t>
  </si>
  <si>
    <t>CO-DC-11001</t>
  </si>
  <si>
    <t>Fuente de los recursos</t>
  </si>
  <si>
    <t>Estado de solicitud de vigencias futuras</t>
  </si>
  <si>
    <t>CCE-15||03</t>
  </si>
  <si>
    <t>¿Se requieren vigencias futuras?</t>
  </si>
  <si>
    <t>0</t>
  </si>
  <si>
    <t>1</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</si>
  <si>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</si>
  <si>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</si>
  <si>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</si>
  <si>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</si>
  <si>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</si>
  <si>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</si>
  <si>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</si>
  <si>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</si>
  <si>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</si>
  <si>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</si>
  <si>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</si>
  <si>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</si>
  <si>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42201800;</t>
  </si>
  <si>
    <t>OPERACIÓN ESPECIALIZADA DE RADIOLOGÍA E IMAGENOLOGIA EN LAS DIFERENTES UNIDADES DE SERVICIOS DE SALUD</t>
  </si>
  <si>
    <t>2</t>
  </si>
  <si>
    <t>4</t>
  </si>
  <si>
    <t>DEPENDENCIA DE CONTRATACION</t>
  </si>
  <si>
    <t>DRA. BETSY SANCHEZ - DIRECTORA SERVICIOS COMPLEMENTARIOS</t>
  </si>
  <si>
    <t>dir.complementarios@subredsur.gov.co</t>
  </si>
  <si>
    <t>COMPRA DE INSUMOS PARA REALIZACIÓN DE TERAPIA VAC PARA MANEJO DE HERIDAS</t>
  </si>
  <si>
    <t>DRA. MARTHA NIETO - DIRECCIÓN ADMINISTRATIVA</t>
  </si>
  <si>
    <t>medicoquirurgicos@subredsur.gov.co</t>
  </si>
  <si>
    <t>72101511;</t>
  </si>
  <si>
    <t>MANTENIMIENTO PREVENTIVO INMERSO CORRECTIVO, INCLUIDO LOS REPUESTOS PARA EL SISTEMA DE AIRE ACONDICIONADO, REFRIGERACIÓN, VENTILACION MECANICA Y CUARTOS FRIOS PROPIEDAD DE LAS USS, QUE CONFORMAN LA SUBRED INEGRADA DE SERVICIOS DE SALUD SUR E.S.E.</t>
  </si>
  <si>
    <t>3</t>
  </si>
  <si>
    <t>recursosfisicosmeissen@subredsur.gov.co</t>
  </si>
  <si>
    <t>SUMINISTRO DE PAPEL TAMAÑO CARTA, OFICIO, MEDIA CARTA Y PAPEL TERMICO PARA CUBRIR LAS NECESIDADES DE LOS SERVICIOS ASISTENCIALES Y ADMINISTRATIVOS QUE COMPONEN LA SUBRED INTEGRADA DE SERVICIOS DE SALUD SUR E.S.E</t>
  </si>
  <si>
    <t>gestionsuministros@subredsur.gov.co</t>
  </si>
  <si>
    <t xml:space="preserve">SUMINISTRO DE INSUMOS PARA OFICINA Y ESCRITORIO PARA CUBRIR LAS NECESIDADES DE LOS SERVICIOS ASISTENCIALES Y ADMINISTRATIVOS QUE COMPONEN LA SUBRED INTEGRADA DE SERVICIOS DE SALUD SUR E.S.E </t>
  </si>
  <si>
    <t>78102203;</t>
  </si>
  <si>
    <t xml:space="preserve">SERVICIO DE MENSAJERIA ESPECIALIZADA PARA LA EJECUCION DE LOS PROCESOS DEL AREA DE GESTION DOCUMENTAL DE LA SUBRED SUR , POR MEDIO DE ENVIO DE DOCUMENTOS EN EL SERVICIO DE CARTA COPIA. </t>
  </si>
  <si>
    <t>ING. JHON CEPEDA ZAFRA - JEFE OFICINA SISTEMAS DE INFORMACIÓN TICS</t>
  </si>
  <si>
    <t>3002360306</t>
  </si>
  <si>
    <t>jefe.sistemastics@subredsur.gov.co</t>
  </si>
  <si>
    <t>42172017;</t>
  </si>
  <si>
    <t>SUMINISTRO E INSTALACION DE BATERIAS PARA LOS EQUIPOS MEDICOS QUE SE ENCUENTRAN EN LA SUBRED INTEGRADA DE SERVICIOS DE SALUD SUR ESE</t>
  </si>
  <si>
    <t>3002920982</t>
  </si>
  <si>
    <t>biomedica@subredsur.gov.co</t>
  </si>
  <si>
    <t>71121905;</t>
  </si>
  <si>
    <t>MUESTREO Y CARACTERIZACIÓN DE VERTIMIENTOS GENERADOS EN LA SUBRED INTEGRADA DE SERVICIOS DE SALUD SUR E.S.E.</t>
  </si>
  <si>
    <t>3013096853</t>
  </si>
  <si>
    <t>gestionambiental@subredsur.gov.co</t>
  </si>
  <si>
    <t>85161501;</t>
  </si>
  <si>
    <t>MANTENIMIENTO  PREVENTIVO, CORRECTIVO, VERIFICACIÓN  Y SUMINISTRO DE REPUESTOS Y/O ACCESORIOS,  PARA EL BUEN FUNCIONAMIENTO  DE LAS AUTOCLAVES DE LA SUBRED SUR:</t>
  </si>
  <si>
    <t>85161505;</t>
  </si>
  <si>
    <t>ARRENDAMIENTO DE EQUIPO BIOMEDICOS PARA LAS DIFERENTES SEDES DE LAS UNIDADES DE PRESTACIÓN DE SERVICIOS  DE SALUD PERTENECIENTES A LA SUBRED INTEGRADA DE SERVICIOS DE SALUD SUR E.S.E.</t>
  </si>
  <si>
    <t>VALIDACIÓN Y CALIFICACIÓN DE LOS EQUIPOS DE LA SUBRED INTEGRADA DE SERVICIOS DE SALUD SUR ESE</t>
  </si>
  <si>
    <t>81141504;</t>
  </si>
  <si>
    <t xml:space="preserve">CALIBRACION LEGAL DE LOS EQUIPOS BIOMEDICOS DE LA SUBRED INTEGRADA DE SERVICIOS DE SALUD SUR E.S.E </t>
  </si>
  <si>
    <t>73152103;</t>
  </si>
  <si>
    <t>MANTENIMIENTO PREVENTIVO, CORRECTIVO Y SUMINISTRO DE LOS REPUESTOS Y/O ACCESORIOS NECESARIOS PARA EL BUEN FUNCIONAMIENTO  DE LOS EQUIPOS MÉDICOS  DE LA SUBRED INTEGRADA DE SERVICIOS DE SALUD SUR E.S.E.</t>
  </si>
  <si>
    <t>MANTENIMIENTO PREVENTIVO Y CORRECTIVO INCLUIDOS LOS REPUESTOS PARA EL DIGITALIZADOR DE IMÁGENES KONICA MINOLTA H110HQ DE LA USS VISTA HERMOSA  DEL SERVICIO DE RADIOLOGIA Y SUMINISTRO DE  CHASIS PARA LOS DIGITALIZADORES MARCA KONICA MINOLTA DEL AREA DE RADIOLOGIA DE LA USS VISTA HERMOSA DE MLA SUBRED INTEGRADA DE SERVICIOS DE SALUD SUR E.S.E.</t>
  </si>
  <si>
    <t>5</t>
  </si>
  <si>
    <t>42201806;</t>
  </si>
  <si>
    <t>ARRENDAMIENTO DE UN EQUIPO DE RX CON FLUROSCOPIA (ARCO EN C INCLUIDO MANTENIMIENTO PREVENTIVO , CORRECTIVO, ACCESORIOS PARA SU CORRECTO FUNCIONAMIENTO,SE DEBE INCLURI UNA UPS PARA EL SERVICIO DE CIRUGIA DE LA USS TUNAL SUBRED SUR)</t>
  </si>
  <si>
    <t>42191800;42191803;</t>
  </si>
  <si>
    <t>MANTENIMIENTO PREVENTIVO, CORRECTIVO DE LAS CAMAS ELECTRICAS Y MECANICAS O HIDRAULICAS, CAMILLAS HIDRAULICAS Y MECANICAS, CUNAS ELECTRICAS, HIDRAULICAS Y MECANICAS, CAMILLAS DE AMBULANCIA DE LAS UNIDADES DE SERVICIOS DE LA SUBRED SUR.</t>
  </si>
  <si>
    <t>40101604;</t>
  </si>
  <si>
    <t>MANTENIMIENTO  PREVENTIVO, CORRECTIVO DE VENTILADORES MARCA SLE</t>
  </si>
  <si>
    <t>6</t>
  </si>
  <si>
    <t>MANTENIMIENTO  PREVENTIVO, CORRECTIVO DE VENTILADORES MARCA NEUMOVENT</t>
  </si>
  <si>
    <t>42132103;52131501;</t>
  </si>
  <si>
    <t>SUMINISTRO E INSTALACIÓN DE CORTINAS HOSPITALARIAS EN MATERIAL LAVABLE, ANTI FLUIDO Y ANTI FLAMA PARA LOS DIFERENTES SERVICIOS ASISTENCIALES DE LAS UNIDADES QUE CONFORMAN LA SUBRED INTEGRADA DE SERVICIOS DE SALUD SUR E.S.E</t>
  </si>
  <si>
    <t>3182653800</t>
  </si>
  <si>
    <t>recursosfisicostunal@subredsur.gov.co</t>
  </si>
  <si>
    <t>20102301;</t>
  </si>
  <si>
    <t>SERVICIO DE TRANSPORTE TERRESTRE ESPECIAL PLACA BLANCA, A FIN DE GARANTIZAR EL NORMAL DESPLAZAMIENTO PARA EL PERSONAL ASISTENCIAL, ADMINISTRATIVO Y USUARIOS, ATENDIENDO LAS NECESIDADES OPERATIVAS PARA LA PRESTACIÓN DE  SERVICIOS; DENTRO DEL DISTRITO CAPITAL DE BOGOTÁ Y ZONAS ALEDAÑAS, EN CUMPLIMIENTO A LO DISPUESTO A LOS LINEAMIENTOS DEL PLAN DE INTERVENCIONES COLECTIVAS (PIC), RUTA DE SALUD Y DEMÁS CONVENIOS INTERADMINISTRATIVOS SUSCRITOS ENTRE LA SUBRED INTEGRADA DE SERVICIOS DE SALUD SUR E.S.E., EL FONDO FINANCIERO DISTRITAL DE SALUD – SECRETARIA DISTRITAL DE SALUD Y FONDO DE DESARROLLO LOCAL.</t>
  </si>
  <si>
    <t>DRA.YOLANDA GUTIERREZ - DIRECTORA GESTIÓN DEL RIESGO EN SALUD</t>
  </si>
  <si>
    <t>3002122771</t>
  </si>
  <si>
    <t>dir.riesgoensalud@subredsur.gov.co</t>
  </si>
  <si>
    <t>80131500;</t>
  </si>
  <si>
    <t xml:space="preserve">ARRENDAMIENTO BODEGA INDUSTRIALIZADA UBICADA EN LA CALLE 12 N° 79-25 ENTRADA 2 BODEGA 7 CENTRO EMPRESARIAL VILLA ALSACIA, PARA EL ARCHIVO DE GESTION DOCUMENTAL DE LA SUBRED INTEGRADA DE SERVICIOS DE SALUD SUR E.S.E </t>
  </si>
  <si>
    <t>43221706;</t>
  </si>
  <si>
    <t>ARRENDAMIENTO DE UN ESPACIO DE METRO LINEAL EN LA TORRE SOPORTADA UBICADA EN CERRO MOCHUELO, SITUADO EN LA VEREDA DE QUIBA, SECTOR ANTENAS, FINCA TAGUALITO, PARA LA INSTALACION DE RADIOS DE ANTENA INTEGRADA DE BAJA FRECUENCIA Y DEMAS ELEMENTOS NECESARIOS PARA PERMITIR LA COMUNICACION DE LAS UNIDADES DE PASQUILLA Y MOCHUELO, CON LA SUBRED INTEGRADA DE SERVICIOS DE SALUD SUR E.S.E</t>
  </si>
  <si>
    <t>SUMINISTRO Y FABRICACIÓN DE DISPOSITIVOS DE ASISTENCIA PERSONAL / AYUDAS TÉCNICAS PARA PERSONAL DISCAPACITDO</t>
  </si>
  <si>
    <t>CLAUDIA SEGURA - REFERENTE UEL</t>
  </si>
  <si>
    <t>proyectosfdl@subredsur.gov.co</t>
  </si>
  <si>
    <t>SERVICIOS DE OPERADOR DE HIPOTERAPIA PARA PERSONAS CON DISCAPACIDAD PARTICIPANTES DE LOS CONVENIOS SUSCRITOS CON LOS FONDOS DE DESARROLLO LOCAL</t>
  </si>
  <si>
    <t>44121600;</t>
  </si>
  <si>
    <t>7300000 EXT 71123</t>
  </si>
  <si>
    <t>24111503;48101903;47121803;24111514;53131608;14111700;12352500;</t>
  </si>
  <si>
    <t>SUMINISTRO DE INSUMOS DE ASEO, DESINFECCION Y CAFETERIA REQUERIDOS POR LOS SERVICIOS ASISTENCIALES</t>
  </si>
  <si>
    <t>72101516;</t>
  </si>
  <si>
    <t>MANTENIMIENTO Y RECARGA DE EXTINTORES</t>
  </si>
  <si>
    <t>ING. FABIOLA BAUTISTA LOPEZ - DIRECTORA TALENTO HUMANO</t>
  </si>
  <si>
    <t>sst@subredsur.gov.co</t>
  </si>
  <si>
    <t>42191810;</t>
  </si>
  <si>
    <t>SUMINISTRO DE COLCHONES PARA LA PRESTACIÓN DE SERVICIO ASISTENCIAL</t>
  </si>
  <si>
    <t>91111500;91111501;91111502;</t>
  </si>
  <si>
    <t>SERVICIO DE LAVANDERIA Y ALQUILER EN LA SUBRED INTEGRADA DE SERVICIOS DE SALUD SUR E.S.E</t>
  </si>
  <si>
    <t>PRESTACIÓN DEL SERVICIO DE ASEO, LIMPIEZA, DESINFECCIÓN Y CAFETERIA, INCLUIDOS INSUMOS Y MAQUINARIA NECESARIA PARA SEDES ADMINISTRATIVAS Y UNIDADES DE SERVICIOS DE SALUD, QUE CONFORMAN LA SUBRED INTEGRADA DE SERVICIOS DE SALUD SUR ESE</t>
  </si>
  <si>
    <t>rfisicosvistahermosa@subredsur.gov.co</t>
  </si>
  <si>
    <t>72153000;</t>
  </si>
  <si>
    <t>SUMINISTRO E INSTALACION DE VIDRIOS - CARPINTERIA EN ALUMINIO - CERRAJERIA PARA LAS UNIDADES DE SERVICIOS DE SALUD QUE CONFORMAN LA SUBRED INTEGRADA DE SERVICIOS DE SALUD SUR E.S.E.</t>
  </si>
  <si>
    <t>40151533;</t>
  </si>
  <si>
    <t>MANTENIMIENTO PREVENTIVO INMERSO EL CORRECTIVO, CON EL SUMINISTRO DE RESPUESTOS . DE BOMBAS, DE SISTEMAS HIDRONEUMATICOS DE PROPIEDAD DE LAS UNIDADES DE SERVICIOS DE SALUD, QUE CONFORMAN LA SUBRED INTEGRADA DE SERVICIOS DE SALUD SUR E.S.E.</t>
  </si>
  <si>
    <t>72151001;</t>
  </si>
  <si>
    <t>MANTENIMIENTO PREVENTIVO INMERSO CORRECTIVO CON EL SUMINISTRO DE REPUESTOS DE LAS CALDERAS DE PROPIEDAD DE LAS USS QUE CONFORMAN LA SUBRED INTEGRADA DE SERVICIOS DE SALUD SUR E.S.E.</t>
  </si>
  <si>
    <t>40151502;</t>
  </si>
  <si>
    <t xml:space="preserve">MANTENIMIENTO PREVENTIVO, INMESRO CORRECTIVO CON EL SUMINISTRO DE REPUESTOS, PARA EL SISTEMA DE BOMBAS DE VACIO </t>
  </si>
  <si>
    <t>ARRENDAMIENTO DEL INMUEBLE UBICADO EN LA CARRERA 18 A BIS N° 60 G 20 SUR, CON EL FIN DE PRESTAR EL SERVICIO DE LABORATORIO CLINICO, CONSULTORIOS ASISTENCIALES (ATENCION A PACIENTES), ESTADISTICA, FACTURACION, RECURSOS FISICOS Y ACTIVOS FIJOS</t>
  </si>
  <si>
    <t>ARRENDAMIENTO DE TRES (3) BOMBAS DE VACIO, TIPO ROTATIVO DE PALETAS LUBRICADAS, DE 3,0 KVA  CADA UNA</t>
  </si>
  <si>
    <t>recursos.fisicos.tunjuelito@subredsur.gov.co</t>
  </si>
  <si>
    <t xml:space="preserve">ARRENDAMIENTO DE UN INMUEBLE DE DOS PLANTAS UBICADO EN LA CALLE 53 BIS A SUR No. 12 - 99 DEL BARRIO TUNJUELITO DE BOGOTÁ, CON EL FIN DE GARANTIZAR LA PRESTACION DE SERVICIOS DE SALUD  DE LA UNIDAD TUNJUELITO, CAPS ABRAHAM LINCOLN DE LA SUBRED INTEGRADA DE SERVICIOS DE SALUD SUR E.S.E.  </t>
  </si>
  <si>
    <t>MANTENIMIENTO PREVENTIVO INMERSO CORRECTIVO DEL MOBILIARIO HOSPITALARIO</t>
  </si>
  <si>
    <t>46182505;</t>
  </si>
  <si>
    <t>MANTENIMIENTO PREVENTIVO INMERSO CORRECTIVO, CON EL SUMINISTRO DE REPUESTOS PARA EL SISTEMA DE DETENCION Y REDES CONTRAINCENDIO</t>
  </si>
  <si>
    <t>72103302;</t>
  </si>
  <si>
    <t>MANTENIMIENTO PREVENTIVO Y CORRECTIVO, INCLUIDO LOS REPUESTOS PARA EL SISTEMA DE LLAMADO DE ENFERMERAS DE LAS UNIDADES DE LA SUBRED INTEGRADA DE SERVICIOS DE SALUD SUR (TUNAL, VISTA HERMOSA, TUNJUELITO)</t>
  </si>
  <si>
    <t>recursosfisicos.usme@subredsur.gov.co</t>
  </si>
  <si>
    <t>MANTENIMIENTO PREVENTIVO Y CORRECTIVO, INCLUIDO LOS REPUESTOS PARA EL SISTEMA DE LLAMADO DE ENFERMERAS DE LA UNIDAD DE MEISSEN DE LA SUBRED INTEGRADA DE SERVICIOS DE SALUD SUR ESE</t>
  </si>
  <si>
    <t>73152101;</t>
  </si>
  <si>
    <t xml:space="preserve">MANTENIMIENTO PREVENTIVO INMERSO CORRECTIVO CON EL SUMINISTRO DE REPUESTOS DE LAS PLANTAS ELECTRICAS Y SISTEMA DE TRANSFERENCIA </t>
  </si>
  <si>
    <t>92121504;</t>
  </si>
  <si>
    <t>PRESTACIÓN DEL SERVICIO DE VIGILANCIA Y SEGURIDAD POR TURNOS, SIN ARMAMENTO  CON SISTEMAS DIGITALES DE GRABACIÓN, MONITOREO DE CAMARAS Y EQUIPOS DE COMUNICACIÓN Y SUMINISTRO, INSTALACIÓN Y SERVICIO DE MONITOREO DE ALARMAS (DONDE SE REQUIERA) PARA LAS SEDES ADMINISTRATIVAS Y UNIDADES DE SERVICIOS DE SALUD QUE CONFORMAN LA SUBRED INTEGRADA DE SERVICIOS DE SALUD SUR E.S.E.</t>
  </si>
  <si>
    <t>servicios.basicos.nazareth@subredsur.gov.co</t>
  </si>
  <si>
    <t>72101506;</t>
  </si>
  <si>
    <t>MANTENIMIENTO PREVENTIVO Y CORRECTIVO, INCLUIDO LOS REPUESTOS REQUERIDOS PARA LOS ASCENSORES DENTRO DEL PROCESO DE CERTIFICACION</t>
  </si>
  <si>
    <t>24101601;72101506;</t>
  </si>
  <si>
    <t>PROCESO DE INSPECCION Y CERTIFICACION ASCENSORES SUBRED SUR (UNIDADES TUNAL, MEISSEN Y VISTA HERMOSA)</t>
  </si>
  <si>
    <t>40141700;</t>
  </si>
  <si>
    <t>SUMINISTRO DE MATERIALES DE FERRETERIA Y ELECTRICOS PARA LA USS QUE CONFORMAN LA SUBRED SUR</t>
  </si>
  <si>
    <t>95101600;</t>
  </si>
  <si>
    <t xml:space="preserve">CERRAMIENTO LOTE BOLONIA </t>
  </si>
  <si>
    <t>84131500;</t>
  </si>
  <si>
    <t>PROGRAMA GENERAL DE SEGUROS MÁS SEGUROS CONVENIOS INTERADMINISTRATIVOS
CONVENIO 0050 /2019</t>
  </si>
  <si>
    <t>activos.fijos.lider@subredsur.gov.co</t>
  </si>
  <si>
    <t xml:space="preserve">42312400; 42312600; </t>
  </si>
  <si>
    <t>14111500;</t>
  </si>
  <si>
    <t>42151601;</t>
  </si>
  <si>
    <t>SUMINISTRO INSUMOS MEDICOQUIRURGICOS PARA CIRUGIA LAPAROSCOPICA</t>
  </si>
  <si>
    <t xml:space="preserve">SUMINISTRO DE INSUMOS MEDICOQUIRURGICOS Y DISPOSITIVOS MÉDICOS </t>
  </si>
  <si>
    <t>SUMINISTRO DE INSUMOS MEDICOQUIRURGICOS Y DISPOSITIVOS MÉDICOS Y APOYO TECNOLOGICO</t>
  </si>
  <si>
    <t>72102905;</t>
  </si>
  <si>
    <t>MANTENIMIENTO IMPERMEABILIZACIÓN DE FACHADAS</t>
  </si>
  <si>
    <t>jefe.mantenimiento@subredsur.gov.co</t>
  </si>
  <si>
    <t xml:space="preserve">MANTENIMIENTO PREVENTIVO Y CORRECTIVO DE LAS CUBIERTAS PARA LAS USS QUE CONFORMAN LA SUBRED INTEGRADA DE SERVICIOS DE SALUD SUR E.S.E  </t>
  </si>
  <si>
    <t xml:space="preserve">MANTENIMIENTO  IMPERMEABILIZACION  CUARTOS DE RESIDUOS DE TODAS LAS UNIDADES DE LA SUBRED SUR </t>
  </si>
  <si>
    <t>72103301;</t>
  </si>
  <si>
    <t xml:space="preserve">MANTENIMIENTO Y ADECUACIÓN DE LAS VIAS DE LOS PARQUEADEROS DE LA USS TUNAL </t>
  </si>
  <si>
    <t>SERVICIO DE TRANSPORTE TERRESTRE ESPECIAL PLACA BLANCA COMO APOYO A LOS SERVICIOS ADMINISTRATIVOS Y OPERATIVOS EN LA SUBRED INTEGRADA DE SERVICIOS DE SALUD SUR E.S.E., EN LA CIUDAD DE BOGOTA  D.C., LOCALIDADES DE CIUDAD BOLIVAR, TUNJUELITO, USME, SUMAPAZ Y ZONAL ALEDAÑAS.</t>
  </si>
  <si>
    <t>3219006466</t>
  </si>
  <si>
    <t>transporte@subredsur.gov.co</t>
  </si>
  <si>
    <t>52141611;</t>
  </si>
  <si>
    <t>SERVICIO DE LAVADERO PARA EL PARQUE AUTOMOTOR DE LA SUBRED INTEGRADA DE SERVICIOS DE SALUD SUR  E.S.E</t>
  </si>
  <si>
    <t>25172511;</t>
  </si>
  <si>
    <t>SUMINISTRO DE NEUMATICOS Y LLANTAS PARA EL PARQUE AUTOMOTOR DE LA SUBRED INTEGRADA DE SERVICIOS DE SALUD SUR  E.S.E</t>
  </si>
  <si>
    <t>78181701;</t>
  </si>
  <si>
    <t>SERVICIO DE COMBUSTIBLE Y ACPM PARA TODO EL PARQUE AUTOMOTOR Y PLANTAS ELECTRICAS DE LA SUBRED SUR</t>
  </si>
  <si>
    <t>78181507;</t>
  </si>
  <si>
    <t>MANTENIMIENTO INTEGRAL PREVENTIVO Y CORRECTIVO CON SERVICIO DE MONTALLANTAS, INCLUYE LOS REPUESTOS, (FILTROS, LUBRICANTES, PARCHES, VULCANIZADAS Y DEMAS REQUERIDOS) PARA LOS VEHICULOS (AMBULANCIAS, MOTOS VRR Y EQUIPO COMANDO EN SALUD) ADSCRITOS AL PROGRAMA DE ATENCION PREHOSPITALARIA, PARA LOS VEHICULOS (AMBULANCIAS) ADSCRITAS AL PROGRAMA DE TRASLADOS INTERNOS DE REFERENCIA Y CONTRAREFERENCIA Y PARA LOS VEHICULOS ADMINISTRATIVOS, MOTOS, CUATRIMOTOS Y CAMIONES PERTENECIENTES AL PARQUE AUTOMOTOR DE LA SUBRED INTEGRADA DE SERVICIOS DE SALUR SUR E.S.E.</t>
  </si>
  <si>
    <t>25173700;</t>
  </si>
  <si>
    <t>SERVICIOS DE CERTIFICACION TECNICOMECANICA Y DE EMISIONES DE GASES CONTAMINANTES, PARA EL PARQUE AUTOMOTOR DE LA SUBRED INTEGRADA DE SEVICIOS DE SALUD SUR E.S.E</t>
  </si>
  <si>
    <t>86101508;</t>
  </si>
  <si>
    <t>PRESTACIÓN DE SERVICIO DE APOYO TECNICO PARA LA EJECUCION  Y SEGUIMIENTO DE LA GESTION AMBIENTAL  DE LA SUBRED INTEGRADA DE SERVICIOS DE SALUD SUR E.S.E.</t>
  </si>
  <si>
    <t>41104200;</t>
  </si>
  <si>
    <t>SERVICIO DE MUESTREO Y ANÁLISIS DE LA CALIDAD DEL AGUA PERMEADA DE LA UNIDAD DE DIÁLISIS DE LA SUBRED INTEGRADA DE SERVICIOS DE SALUD SUR.</t>
  </si>
  <si>
    <t>72102100;</t>
  </si>
  <si>
    <t>SERVICIO DE CONTROL DE PLAGAS PARA LA  TOTALIDAD DE LAS ÁREAS DE LA SUBRED INTEGRADA DE SERVICIOS DE SALUD SUR E.S.E.</t>
  </si>
  <si>
    <t>8</t>
  </si>
  <si>
    <t>9</t>
  </si>
  <si>
    <t>76121500;</t>
  </si>
  <si>
    <t>SERVICIO DE RECOLECCIÓN, TRANSPORTE, TRATAMIENTO Y DISPOSICIÓN FINAL DE  RESIDUOS QUÍMICOS.</t>
  </si>
  <si>
    <t>47121709;</t>
  </si>
  <si>
    <t xml:space="preserve">SUMINISTRO DE CANECAS, PEDALES, CONTENEDORES Y/O RECIPIENTES PARA EL ALMACENAMIENTO DE RESIDUOS HOSPITALARIOS </t>
  </si>
  <si>
    <t>81102600;</t>
  </si>
  <si>
    <t>SERVICIO DE MUESTREO Y ANÁLISIS DE PARAMETROS FÍSICOS, QUÍMICOS Y MICROBIOLÓGICOS DEL AGUA POTABLE DE LA RED INTERNA DE DISTRIBUCIÓN DE AGUA POTABLE DE LA SUBRED INTEGRADA DE SERVICIOS DE SALUD SUR E.S.E.</t>
  </si>
  <si>
    <t>78121602;</t>
  </si>
  <si>
    <t>SUMINSTRO DE EQUIPOS DE PESAJE: DINAMÓMETROS Y BÁSCULAS</t>
  </si>
  <si>
    <t>43222503;</t>
  </si>
  <si>
    <t>ESTUDIO DE VULNERABILIDAD SISMICA</t>
  </si>
  <si>
    <t>72154056;</t>
  </si>
  <si>
    <t>SERVICIO DE LAVADO Y DESINFECCIÓN DE TANQUES DE ALMACENAMIENTO DE AGUA POTABLE DE LAS UNIDADES DE SERVICIOS DE SALUD, SEDES ADMINISTRATIVOS Y UNIDADES BÁSICAS DE ATENCIÓN MÓVILES DE LA SUBRED INTEGRADA DE SERVICIOS DE SALUD SUR E.S.E.</t>
  </si>
  <si>
    <t>42294805;</t>
  </si>
  <si>
    <t xml:space="preserve">MANTENIMIENTO PREVENTIVO Y CORRECTIVO,  CON SUMINISTRO DE REPUESTOS Y/O ACCESORIOS NECESARIOS PARA EL BUEN FUNCIONAMIENTO DE LAS TORRES DE ENDOSCOPIA, LAPAROSCOPIA Y ARTROSCOPIA DE LA SUBRED SUR </t>
  </si>
  <si>
    <t>10</t>
  </si>
  <si>
    <t>42292900;</t>
  </si>
  <si>
    <t>MANTENIMIENTO PREVENTIVO, CON REPUESTOS Y MANO DE OBRA INCLUIDA PARA EL EQUIPO PROCESADOR DE TEJIDOS SHANDON PATHCENTRE Y CENTRAL DE INCLUSION SHANDON HISTOVENTRE, QUE SE ENCUENTRA EN EL SERVICIO DE PATOLOGIA DE LA USS TUNAL</t>
  </si>
  <si>
    <t>12</t>
  </si>
  <si>
    <t>CONTRATAR EL SERVICIO DE  MANTENIMIENTO PREVENTIVO, CORRECTIVO Y SUMINISTRO DE LOS REPUESTOS Y/O ACCESORIOS NECESARIOS PARA EL BUEN FUNCIONAMIENTO  DE LOS EQUIPOS ODONTOLÓGICOS DE LA DE LA SUBRED INTEGRADA DE SERVICIOS DE SALUD SUR E.S.E.”</t>
  </si>
  <si>
    <t>42281508;</t>
  </si>
  <si>
    <t>CONTRATAR EL SERVICIO DE  MANTENIMIENTO PREVENTIVO, CORRECTIVO Y SUMINISTRO DE LOS REPUESTOS Y/O ACCESORIOS NECESARIOS PARA EL BUEN FUNCIONAMIENTO  DE LAS AUTOCLAVES EURONDA DE LA DE LA SUBRED INTEGRADA DE SERVICIOS DE SALUD SUR E.S.E.”</t>
  </si>
  <si>
    <t>MANTENIMIENTO PREVENTIVO Y CORRECTIVO PARA LOS DIGITALIZADORES E IMPRESORAS DE IMÁGENES DIAGNOSTICAS MARCA CARESTREAM DE LOS SERVICIOS DE RADIOLOGIA DE LA SUBRED INTEGRADA DE SERVICIOS DE SALUD SUR E.S.E.</t>
  </si>
  <si>
    <t xml:space="preserve">ADQUISICION  DE TERMOHIGROMETROS  </t>
  </si>
  <si>
    <t xml:space="preserve">ADQUISICION DE TUBOS DE RAYOS X E IMAGENES DIAGNOSTICAS </t>
  </si>
  <si>
    <t>42295123;</t>
  </si>
  <si>
    <t xml:space="preserve">MANTENIMIENTO PREVENTIVO Y CORRECTIVO DE LA RED DE GASES MEDICINALES, MANIFOLDS Y SUMINISTRO DE ACCESORIOS DE TERAPIA RESPIRATORIO PARA LA SUBRED </t>
  </si>
  <si>
    <t>42281500;</t>
  </si>
  <si>
    <t xml:space="preserve">MANTENIMIENTO ESTERILIZADORES STERRAD JHONSON Y JHONSON </t>
  </si>
  <si>
    <t>72101518;</t>
  </si>
  <si>
    <t>INDEPENDIZACION RED DE AIRE MEDICINAL DE ODONTOLOGIA , ESTERILIZACION  Y  DE LAS UNIDADES DE SERVICIO DE LA  SUBRED INTEGRADA DE SERVICIOS DE SALUD</t>
  </si>
  <si>
    <t>72154101;</t>
  </si>
  <si>
    <t>ARRENDAMIENTO SISTEMA DE PRODUCCION AIRE MEDICINAL INSITUO POR COMPRESOR CON TODA LA INSTALACIÓN REQUERIDA A TODO COSTO DE LA USS TUNAL DE LA SUBRED SUR.</t>
  </si>
  <si>
    <t>7</t>
  </si>
  <si>
    <t>41103011;</t>
  </si>
  <si>
    <t>MANTENIMIENTO PREVENTIVO Y CORRECTIVO INCLUYENDO REPUESTOS Y ACCESORIOS NECESARIOS PARA GARANTIZAR EL CORRECTO FUNCIONAMIENTO DE LAS NEVERAS DE VACUNACION, CONGELADORES INDUSTRIALES, REFRIGERADORES, CRIOSTATOS Y CUERTOS FRIOS UBICADOS EN LA UNIDAD DE SERVICIOS DE LA SUBRED SUR</t>
  </si>
  <si>
    <t>ARRENDAMIENTO SISTEMA DE PRODUCCION AIRE MEDICINAL INSITUO POR COMPRESOR CON LOS SIGUIENTES ELEMENTOS, COMPRESORES,TANQUE PULMOS, SECADORES, FILTROS DE PARTICULAS,COALESENTES, CARBON ACTIVADO, BACTERIOLOGICO,SISTEMA DE MONITORE,SISTEMA DE ALARMA Y PROTECCIONES, PANEL DE CONTRL, VALVULAS REGULADORAS, SISTEMAS DE DISTRIBUCION INCLUIDA LA MANO DE OBRA A TODO COSTO CON MATERIALES Y MANO DE OBRA CERTIFICADA PARA LA USS MEISSEN Y AMPLIACION DE MANIFOLD DE AIRE Y OXIGENO MEDICINAL.</t>
  </si>
  <si>
    <t>MANTENIMIENTO  PREVENTIVO, CORRECTIVO DE VENTILADORES MARCA ORICARE</t>
  </si>
  <si>
    <t xml:space="preserve">81111819; </t>
  </si>
  <si>
    <t>CONVENIO INTERADMINISTRATIVO No 0688 DE 2019  SEGUIMIENTO Y POSTULACION ACREDITACION
OBJETIVO GENERAL "AUNAR ESFUERZOS ADMINISTRATIVOS, TÉCNICOS Y FINANCIEROS PARA EL DESARROLLO DEL PROCESO DE PREPARACIÓN PARA LA POSTULACIÓN DE ACREDITACIÓN SEGÚN DECRETO 903 DEL 2014 Y RESOLUCIÓN 2082 DEL 2014 DEL MINISTERIO DE SALUD Y PROTECCIÓN SOCIAL EN CADA UNA DE LAS CUATRO SUBREDES INTEGRADAS DE SERVICIOS DE SALUD EN EL MARCO DEL MODELO DE ATENCIÓN INTEGRAL EN SALUD”.</t>
  </si>
  <si>
    <t>DRA. AMANDA SALINAS PIRAJAN - JEFE OFICINA CALIDAD</t>
  </si>
  <si>
    <t>jefe.calidadsubredsur.gov.co</t>
  </si>
  <si>
    <t>42152400;</t>
  </si>
  <si>
    <t>SUMINISTRO DE DISPOSITIVOS MEDICOQUIRURGICOS E INSUMOS DE ODONTOLOGÍA PARA LA PRESTACIÓN DEL SERVICIO DE SALUD ORAL EN LA SUBRED INTEGRADA DE SERVICIOS DE SALUD SUR E.S.E.</t>
  </si>
  <si>
    <t>DRA. JOHANNA ANDREA TORRES RUIZ - DIRECTORA SERVICIOS  AMBULATORIOS</t>
  </si>
  <si>
    <t>dir.ambulatorios@subredsur.gov.co</t>
  </si>
  <si>
    <t>41116111;</t>
  </si>
  <si>
    <t>PROCESAMIENTO Y LECTURA DE MUESTRAS DE CITOLOGÍA VAGINAL</t>
  </si>
  <si>
    <t>81141804;</t>
  </si>
  <si>
    <t>REALIZACION DE ESTUDIOS DE EVALUACION PARA LOS EQUIPOS RAYOS X PERIAPICAL DE LA SUBRED INTEGRADA DE SERVICIOS DE SALUD SUR</t>
  </si>
  <si>
    <t>42281804;</t>
  </si>
  <si>
    <t>SERVICIO DE ESTERILIZACIÓN EXTERNA BAJA TEMPERATURA PARA ELEMENTOS TERMOSENSIBLES Y CONTINGENCIAS A VAPOR PARA LA SUBRED INTEGRADA DE SERVICIOS DE SALUD SUR E.S.E</t>
  </si>
  <si>
    <t>DRA. LILIANA SOFIA CEPEDA - DIRECTORA SERVICIOS HOSPITALARIOS</t>
  </si>
  <si>
    <t>dir.hospitalarios@subredsur.gov.co</t>
  </si>
  <si>
    <t>42296000;</t>
  </si>
  <si>
    <t>SUMINISTRO DE MATERIAL DE OSTEOSINTESIS E INJERTOS OSEOS PARA LAS ESPECIALIDADES DE ORTOPEDIA, CIRUGÍA DE TORAX, CIRUGÍA DE MANO, CIRUGÍA COLUMNA, CIRUGÍA MAXOLIFACIAL, NEUROCIRUGÍA, DENTRO DE LOS DIFERENTES PROCESOS Y PROCEDIMIENTOS QUIRÚRGICOS QUE SE REALIZAN EN LA SUBRED INTEGRADA DE SERVICIOS DE SALUD SUR E.S.E.</t>
  </si>
  <si>
    <t>SUMINISTRO DE INJERTOS OSEOS PARA LA REALIZACIÓN DE PROCEDIMIENTOS QUIRÚRGICOS A PACIENTES ESPECÍFICOS EN LA SUBRED INTEGRADA DE SERVICIOS DE SALUD SUR E.S.E</t>
  </si>
  <si>
    <t>93131608;</t>
  </si>
  <si>
    <t>SERVICIO DE PREPARACIÓN, SUMINISTRO, DISTRIBUCIÓN Y TRANSPORTE DE LOS ALIMENTOS A LOS PACIENTES HOSPITALIZADOS Y PACIENTES DE UNIDAD RENAL, EN LAS DIFERENTES UNIDADES DE SALUD QUE CONFORMAN LA SUBRED INTEGRADA DE SERVICIOS DE SALUD SUR E.S.E, ASÍ MISMO EL SUMINISTRO DE ALIMENTOS A LOS MÉDICOS INTERNOS Y RESIDENTES Y A LOS BENEFICIARIOS DEL PROGRAMA DE ECOTERAPIA DE LA UNIDAD DE SERVICIOS DE SALUD NAZARETH.</t>
  </si>
  <si>
    <t>85122101;</t>
  </si>
  <si>
    <t>IMPRESIÓN Y PUBLICACIONES, FORMAS, TABLEROS , PIEZAS COMUNICATIVAS Y FORMATOS  PARA EL REGISTRO Y OPERACIONES DEL PIC</t>
  </si>
  <si>
    <t>SUMINISTRO DE REFRIGERIOS Y ALMUERZOS PARA EL DESARROLLO DE JORNADAS PIC</t>
  </si>
  <si>
    <t>80111604;</t>
  </si>
  <si>
    <t>ELEMENTOS DE IDENTIFICACIÓN INSTITUCIONAL DE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</si>
  <si>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</si>
  <si>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</si>
  <si>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</si>
  <si>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SERVICIO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</si>
  <si>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</si>
  <si>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t>
  </si>
  <si>
    <t>ADQUISICION DE ACCESORIOS E INSUMOS PARA FUMIGACION Y CONTROL VECTORIAL(FUNGICIDA Y RODANTICIDA)</t>
  </si>
  <si>
    <t>86101706;</t>
  </si>
  <si>
    <t>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</si>
  <si>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</si>
  <si>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</si>
  <si>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 xml:space="preserve"> 41113606;</t>
  </si>
  <si>
    <t>PRESTAR LOS SERVICIOS DE MONITOREO DE TEMPERATURAS CENTINELA LAS 24 HORAS DEL DIA, 7 DIAS A LA SEMANA Y 365 DIAS DEL AÑO, PARA LOS EQUIPOS DE REFRIGERACION (NEVERAS HORIZONTALES Y CUARTO FRIO, DONDE SE ALMACENAN Y REFRIGERAN LOS PRODUCTOS BIOLOGICOS).. EL MONITOREO SE REQUIERE PARA LAS NEVERAS DE VACUNACION EN TOTAL SON 33 NEVERAS Y UN CUARTO FRIO, ASI MISMO REALIZAR LA CALIBRACION A CADA UNO DE LOS TERMOMETROS  QUE REALIZA LA MEDICION DE TEMPERATURAS UBICADOS EN LOS DIFERENTES CENTROS DE ATENCION QUE COMPONEN LA SUBRED INTEGRADA DE SERVICIOS DE SALUD SUR E.S.E</t>
  </si>
  <si>
    <t>86101705;</t>
  </si>
  <si>
    <t xml:space="preserve">CONTRATAR LOS SERVICIOS DE CAPACITACIÓN EXTERNA PARA FORTALECER LAS COMPETENCIAS Y HABILIDADES DEL PERSONAL ASISTENCIAL.   </t>
  </si>
  <si>
    <t>dir.talentohumano@subredsur.gov.co</t>
  </si>
  <si>
    <t xml:space="preserve">CONTRATAR LOS SERVICIOS DE CAPACITACION EXTERNA PARA FORTALECER LAS COMPETENCIAS Y HABILIDADES DEL PERSONAL ADMINISTRATIVO   Y JUNTA DIRECTIVA </t>
  </si>
  <si>
    <t>81141801;</t>
  </si>
  <si>
    <t>CONTRATACIÓN PARA LA REALIZACIÓN DE ANÁLISIS DE PUESTO DE TRABAJO, PARA LA CALIFICACIÓN DE ORIGEN DE PATOLOGÍAS DE ORDEN MUSCULOESQUELÉTICO, CON METODOLOGÍA AVALADA PARA LA VALORACIÓN DE CARGA FÍSICA, EN LA SUBRED INTEGRADA DE SERVICIOS DE SALUD SUR E.S.E</t>
  </si>
  <si>
    <t>24141608;</t>
  </si>
  <si>
    <t>SUMINISTRO DE ELEMENTOS DE PROTECCION PERSONAL, EN DESARROLLO DE LAS ACTIVIDADES QUE SE ADELANTAN Y QUE REQUIEREN DE LOS MISMOS EN LA SUBRED INTEGRADA DE SERVICIOS DE SALUD SUR E.S.E.</t>
  </si>
  <si>
    <t>51201608;</t>
  </si>
  <si>
    <t>COMPRA VENTA DE VACUNA PARA LA INFUENZA CEPA 2019 EN NÚMERO DE 450 CON LA COMPOSICIÓN RECOMENDADA POR LA OMS, PARA LOS TRABAJADORES DE LA SUBRE INTEGRADA DE SERVICIOS DE SALUD SUR E.S.E</t>
  </si>
  <si>
    <t>56112102;</t>
  </si>
  <si>
    <t>ADQUISICIÓN DE 200 SILLAS ERGONÓMICAS, 200 ELEVAMONITORES, 200 APOYAPIES, PARA LA INTERVENCIÓN DE LOS PUESTOS DE TRABAJO CON VDT  EN LA SUBRED INTEGRADA DE SERVICIOS DE SALUD SUR E.S.E.</t>
  </si>
  <si>
    <t>93141808;</t>
  </si>
  <si>
    <t>LA SUBRED INTEGRADA DE SERVICIOS DE SALUD SUR E.S.E, REQUIERE  LA CONTRATACIÓN DEL SERVICIO MÉDICO ESPECIALIZADO PARA LA REALIZACIÓN DE LOS EXÁMENES MÉDICOS OCUPACIONALES PERIÓDICOS PARA SUS FUNCIONARIOS, CON ÉNFASIS OSTEOMUSCULAR Y DE AGUDEZA VISUAL MEDIANTE UNA VISIOMETRÍA; CON LOS PARACLÍNICOS DE EVALUACIÓN NECESARIOS Y PERTINENTES, DEACUERDO CON LA EXPOSICIÓN OCUPACIONAL.</t>
  </si>
  <si>
    <t>80141625;</t>
  </si>
  <si>
    <t>CONTRATACIÓN DE ACTIVIDADES PLAN DE BIENESTAR E INCENTIVOS</t>
  </si>
  <si>
    <t>53102710;</t>
  </si>
  <si>
    <t>CONTRATACIÓN DOTACIÓN DE PERSONAL</t>
  </si>
  <si>
    <t>85121804;</t>
  </si>
  <si>
    <t>SERVICIOS DE LABORATORIOS PATOLÓGICOS</t>
  </si>
  <si>
    <t>41116000;</t>
  </si>
  <si>
    <t>SUMINISTRO DE REACTIVOS E  INSUMOS DE LABORATORIO CLINICO</t>
  </si>
  <si>
    <t>81141500;</t>
  </si>
  <si>
    <t xml:space="preserve">SUMINISTRO DE CONTROLES DE CALIDAD EXTERNO PARA ANALITOS PROCESADOS EN LOS LABORATORIOS CLINICOS DE LA SUBRED INTEGRADA DE SERVICIOS </t>
  </si>
  <si>
    <t>85121809;</t>
  </si>
  <si>
    <t>CONTRATAR SERVICIOS DE BANCOS DE SANGRE</t>
  </si>
  <si>
    <t xml:space="preserve">SUMINISTRO DE CONTROLES DE CALIDAD INTERNO PARA ANALITOS PROCESADOS EN LOS LABORATORIOS CLINICOS DE LA SUBRED INTEGRADA DE SERVICIOS </t>
  </si>
  <si>
    <t>12142100;</t>
  </si>
  <si>
    <t xml:space="preserve">SUMINISTRO DE GASES MEDICINALES PARA LA SUBRED SUR </t>
  </si>
  <si>
    <t>73171504;</t>
  </si>
  <si>
    <t xml:space="preserve"> ADQUISICION DE TUBOS COLORIMÉTRICOS SENSIDYNE PARA DETECCIÓN DE OXIDO DE CARBONO, ÓXIDOS DE NITRÓGENO, MONÓXIDO DE CARBONO Y AZUFRE, PARA REALIZAR CONTROL DE CALIDAD DEL AIRE MEDICINAL </t>
  </si>
  <si>
    <t>80000000;</t>
  </si>
  <si>
    <t xml:space="preserve">PAGO DE VISITA A INVIMA PARA CERTIFICACIÓN EN  BUENAS PRÁTICAS DE MANUFACTURA DE AIRE MEDICINAL USS TUNAL Y MEISSEN </t>
  </si>
  <si>
    <t>51101500;51101600;51101700;51101800;51101900;51102000;51102100;51102200;51102300;51102400;51102500;51102600;51102700;73101701;</t>
  </si>
  <si>
    <t xml:space="preserve"> SUMINISTRO DE MEDICAMENTOS POS Y NO POS, PARA CUBIR LAS NECESIDADES DE LOS SERVICIOS ASISTENCIALES DE LAS DIFERENTES UNIDADES QUE COMPONEN LA SUBRED INTEGRADA DE SERVICIOS DE SALUD SUR E.S.E</t>
  </si>
  <si>
    <t>42221600;</t>
  </si>
  <si>
    <t xml:space="preserve">SUMINISTRO DE MEDICAMENTOS Y LIQUIDOS ENDOVENOSOS PARA CUBRIR LAS NECESIDADES DE LOS SERVICIOS ASISTENCIALES DE LA SUBRED SUR </t>
  </si>
  <si>
    <t>85121900;</t>
  </si>
  <si>
    <t>SUMINISTRO DE MEDICAMENTOS MONOPOLIO DEL ESTADO PARA GARANTIZAR LA PRESTACIÓN DE LOS SERVICIOS ASISTENCIALES EN LA SUBRED INTEGRADA DE SERVICIOS DE SALUD SUR E.S.E.  COTRATO 087-2018</t>
  </si>
  <si>
    <t>42231800;</t>
  </si>
  <si>
    <t>SUMINISTRO DE NUTRICIONES ENTERALES, FORMULAS LACTEAS Y SUS DERIVADOS, PARA GARANTIZAR LA PRESTACIÓN DE LOS SERVICIOS ASISTENCIALES EN LA SUBRED INTEGRADA DE SERVICIOS DE SALUD SUR E.S.E.</t>
  </si>
  <si>
    <t>42231500;</t>
  </si>
  <si>
    <t xml:space="preserve">SUMINISTRO DE NUTRICIONES PARENTERALES PARA CUBRIR LAS NECESIDADES DE LOS SERVICIOS HISPITALARIOS DE LA SUBRED SUR </t>
  </si>
  <si>
    <t>42192602;</t>
  </si>
  <si>
    <t xml:space="preserve">SERVICIO DE ADECUACION DE REEMPAQUE DE  SOLIDOS ADECUACION DE ANTIBIOTICOS Y MAGISTRALES </t>
  </si>
  <si>
    <t>85121800;85121801;85121802;85121803;85121804;85121805</t>
  </si>
  <si>
    <t>PRESTACIÓN DE SERVICIOS PARA EL PROCESAMIENTO DE EXÁMENES ESPECIALIZADOS Y NO ESPECIALIZADOS DE LABORATORIO QUE SEAN REQUERIDOS POR LA SUBRED INTEGRADA DE SERVICIOS DE SALUD SUR E.S.E</t>
  </si>
  <si>
    <t>313-2428948</t>
  </si>
  <si>
    <t>SUMINISTRO DE DISPOSITIVOS INSUMOS Y REACTIVOS PARA EL SERVICIO TRANSFUSIONAL</t>
  </si>
  <si>
    <t>72154020;</t>
  </si>
  <si>
    <t xml:space="preserve">VALIDACION DEL PROCESO PRODUCTIVO DE AIRE MEDICINAL EN SITIO POR COMPRESOR </t>
  </si>
  <si>
    <t>81141500;;</t>
  </si>
  <si>
    <t xml:space="preserve">CONTROLES DE CALIDAD PARA LOS EQUIPOS DE RX CONVENCIONAL PORTATILES Y TOMOGRAFOS DE LA SUBRED INTEGRADA DE SERVICIOS DE SALUD SUR </t>
  </si>
  <si>
    <t>85121603;</t>
  </si>
  <si>
    <t>PRESTACION DEL SERVICIO INTEGRAL PARA LA ATENCION ESPECIALIZADA DE CARDIOLOGIA NO INVASIVA E INVASIVA (HEMODINAMIA), ATENDIENDO A LAS ACTIVIDADES PROCEDIMIENTOS DIAGNOSTICOS Y TERAPEUTICOS DE ACUERDO A LA OFERTA INSTITUCIONAL Y AL CUMPLIMIENTO DE LOS REQUISITOS DE HABILITACION EN CUANTO AL ESTANDAR DE RECURSO HUMANO, DOTACION Y MANTENIMIENTO.</t>
  </si>
  <si>
    <t>85121605;</t>
  </si>
  <si>
    <t>PRESTACION DEL SERVICIO INTEGRAL PARA LA  ATENCION ESPECIALIZADA DE GASTROENTEROLOGIA, ATENDIENDO A LAS ACTIVIDADES PROCEDIMIENTOS DIAGNOSTICOS Y TERAPEUTICOS DE ACUERDO A LA OFERTA INSTITUCIONAL Y AL CUMPLIMIENTO DE LOS REQUISITOS DE HABILITACION EN CUANTO AL ESTANDAR DE RECURSO HUMANO, DOTACIóN Y MANTENMIENTO.</t>
  </si>
  <si>
    <t>80101700;</t>
  </si>
  <si>
    <t>CONTRATAR SERVICIOS CONSULTA EN LISTAS VINCULANTES SARLAFT</t>
  </si>
  <si>
    <t xml:space="preserve">DRA. GLORIA LIBIA POLANIA AGUILLÓN - JEFE OFICINA ASESORA DESARROLLO INSTITUCIONAL </t>
  </si>
  <si>
    <t>3219008951</t>
  </si>
  <si>
    <t>jefe.desarrolloinstitucional@subredsur.gov.co</t>
  </si>
  <si>
    <t>80111713;</t>
  </si>
  <si>
    <t>ACTUALIZACIÓN DEL SISTEMA INTEGRADO DE INFORMACIÓN HOSPITALARIO DINAMICA GERENCIAL EN LA VERSION NET WEB SERVICES A SU ULTIMA VERSION QUE INCLUYA  LOSSERVICIOS WEB PARA INRTEROPERAR CON LA PLATAFORMA BOGOTA SALUD DIGITAL EN ATENCION AL CONVENIO 0800 DE 2019, SUSCRITO ENTRE EL FONDO FINANCIERO DISTRITAL DE SALUD Y LA SUBRED INTEGRADA DE SERVICIOS DE SALUD SUR E.S.E</t>
  </si>
  <si>
    <t>44121612;</t>
  </si>
  <si>
    <t>SUMINISTRO DE REPUESTOS QUE REQUIEREN LOS DISPOSITIVOS TECNOLOGICOS PROPIOS CON LOS CUALES CUENTA LA SUBRED INTEGRADA DE SERVICIOS DE SALUD SUR E.S.E EN LO RELACIONADO A EQUIPOS DE COMPUTO, IMPRESORAS Y COMUNICACIONES CON EL FIN DE GRANTIZAR EL CORRECTO FUNCIONAMIENTO DE LOS MISMOS PARA EOL DESEMPEÑO DE LAS ACTIVIDADES DE LOS COLABORADORES Y/O FUNCIONARIOS.</t>
  </si>
  <si>
    <t>43231512;</t>
  </si>
  <si>
    <t>CONTRATAR EL LICENCIAMIENTO DE ANTIVIRUS PARA 2100 EQUIPOS DE COMPUTO POR UN PERIDO DE (1) AÑO, LA CUAL DEBE CUMPLIR CON LA DESCRIPCION TECNICA SOLICITADA, PARA ATENDER LAS DECESIDADES QUE SE PRESENTAN EN LA SUBRED INTEGRADA DE SERVICIOS DE SALUD SUR E.S.E</t>
  </si>
  <si>
    <t>80161800;</t>
  </si>
  <si>
    <t>SERVICIO DE ARRENDAMIENTO DE EQUIPOS DE COMPUTO,IMPRESORAS, SCANNER, DUPLICADORAS Y FOTOCOPIADORAS COMO SOPORTE TECNICO PARA EL DESARROLLO DE LA PRESTACION DE LAS ACTIVIDADES ASISTENCIALES Y ADMINISTRATIVAS EN LA SUBRED INTEGRADA DE SERVICIOS DE SALUD SUR E.S.E.</t>
  </si>
  <si>
    <t>73152108;</t>
  </si>
  <si>
    <t>MANTENIMIENTO PREVENTIVO Y CORRECTIVO INCLUYENDO REPUESTOS Y MANO DE OBRA DE LAS UPS CORRESPONDIENTES A LA SUBRED INTEGRADA DE SERVICIOS DE SALUD SUR E.S.E, GARANTIZANDO EL BUEN FUNCIONAMIENTO DE LA RED REGULADA CON EL FIN DE MANTENER PROTEGIDOS LOS EQUIPOS DE CÓMPUTO Y LA INFORMACIÓN DE LOS USUARIOS ANTE LOS CORTES REPENTINOS DE ENERGÍA.</t>
  </si>
  <si>
    <t>42222309;</t>
  </si>
  <si>
    <t>CONTRATAR LA PRESTACIÓN DE SERVICIOS ESPECIALIZADOS DE COMPRA DE UNIDADES DE CONSERVACIÓN DE ARCHIVO SEGÚN MEDIDAS SOLICITADAS, IMPRESAS A UNA TINTA, PARA EL MANEJO DEL ARCHIVO INSTITUCIONAL DE LA SUBRED INTEGRADA DE SERVICIOS DE SALUD SUR E.S.E.</t>
  </si>
  <si>
    <t>CONTRATAR LA  PRESTACION DE SERVICIOS ESPECIALIZADOS DE COMPRA DE CARPETAS DE HISTORIA CLÍNICA SEGÚN MEDIDAS SOLICITADAS, IMPRESAS A UNA TINTA, PARA EL MANEJO DEL ARCHIVO DE GESTIÓN ASISTENCIAL DE LA SUBRED INTEGRADA DE SERVICIOS DE SALUD SUR E. S. E.</t>
  </si>
  <si>
    <t xml:space="preserve">42211500; </t>
  </si>
  <si>
    <t>85122100;</t>
  </si>
  <si>
    <t>80111701;</t>
  </si>
  <si>
    <t>OPS HONORARIOS</t>
  </si>
  <si>
    <t>DIRECCIONES ENCARGADAS</t>
  </si>
  <si>
    <t>plan.adquisiciones@subredsur.gov.co</t>
  </si>
  <si>
    <t>OPS REMUNERACIÓN SERVICIOS TÉCNICOS</t>
  </si>
  <si>
    <t>OPS CONTRATACIÓN SERVICIO ASISTENCIAL GENERAL</t>
  </si>
  <si>
    <t>DR. MARTIN JAIMES MADARIAGA - SUBGERENTE ASISTENCIAL</t>
  </si>
  <si>
    <t>OPS TALENTO HUMANO OPERACIÓN PLAN INTERVENCIONES COLECTIVAS PIC</t>
  </si>
  <si>
    <t>SUBRED INTEGRADA DE SERVICIOS DE SALUD SUR E.S.E
PLAN ANUAL DE ADQUISICIONES AÑO 2020
VERSIÓN 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</si>
</sst>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quot;$&quot;\ * #,##0_-;_-&quot;$&quot;\ * &quot;-&quot;_-;_-@_-"/>
    <numFmt numFmtId="41" formatCode="_-* #,##0_-;\-* #,##0_-;_-* &quot;-&quot;_-;_-@_-"/>
    <numFmt numFmtId="43" formatCode="_-* #,##0.00_-;\-* #,##0.00_-;_-* &quot;-&quot;??_-;_-@_-"/>
    <numFmt numFmtId="164" formatCode="#,###\ &quot;COP&quot;"/>
    <numFmt numFmtId="165" formatCode="#,##0.00\ \€"/>
  </numFmts>
  <fonts count="9"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u/>
      <sz val="10"/>
      <color theme="10"/>
      <name val="Arial"/>
      <family val="2"/>
    </font>
    <font>
      <u/>
      <sz val="10"/>
      <color theme="1"/>
      <name val="Arial"/>
      <family val="2"/>
    </font>
    <font>
      <b/>
      <sz val="10"/>
      <name val="Arial"/>
      <family val="2"/>
    </font>
    <font>
      <sz val="10"/>
      <name val="Arial"/>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patternFill patternType="solid">
        <fgColor theme="4" tint="0.79998168889431442"/>
        <bgColor indexed="64"/>
      </patternFill>
    </fill>
  </fills>
  <borders count="2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8">
    <xf numFmtId="0" fontId="0" fillId="0" borderId="0"/>
    <xf numFmtId="42"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0" fontId="5" fillId="0" borderId="0" applyNumberFormat="0" applyFill="0" applyBorder="0" applyAlignment="0" applyProtection="0"/>
  </cellStyleXfs>
  <cellXfs count="80">
    <xf numFmtId="0" fontId="0" fillId="0" borderId="0" xfId="0"/>
    <xf numFmtId="0" fontId="0" fillId="0" borderId="0" xfId="0" applyProtection="1">
      <protection locked="0"/>
    </xf>
    <xf numFmtId="1" fontId="0" fillId="0" borderId="0" xfId="0" applyNumberFormat="1" applyProtection="1">
      <protection locked="0"/>
    </xf>
    <xf numFmtId="0" fontId="0" fillId="6" borderId="3" xfId="0" applyFont="1" applyFill="1" applyBorder="1" applyAlignment="1" applyProtection="1">
      <alignment horizontal="center" vertical="center" wrapText="1"/>
      <protection locked="0"/>
    </xf>
    <xf numFmtId="49" fontId="4" fillId="6" borderId="4" xfId="14" applyFont="1" applyFill="1" applyBorder="1" applyAlignment="1" applyProtection="1">
      <alignment horizontal="center" vertical="center" wrapText="1"/>
      <protection locked="0"/>
    </xf>
    <xf numFmtId="0" fontId="0" fillId="6" borderId="1" xfId="0" applyFont="1" applyFill="1" applyBorder="1" applyAlignment="1" applyProtection="1">
      <alignment horizontal="center" vertical="center"/>
      <protection locked="0"/>
    </xf>
    <xf numFmtId="49" fontId="3" fillId="6" borderId="1" xfId="14" applyFont="1" applyFill="1" applyBorder="1" applyAlignment="1" applyProtection="1">
      <alignment horizontal="center" vertical="center" wrapText="1"/>
      <protection locked="0"/>
    </xf>
    <xf numFmtId="164" fontId="3" fillId="6" borderId="1" xfId="3" applyNumberFormat="1" applyFont="1" applyFill="1" applyBorder="1" applyAlignment="1" applyProtection="1">
      <alignment horizontal="center" vertical="center" wrapText="1"/>
      <protection locked="0"/>
    </xf>
    <xf numFmtId="164" fontId="3" fillId="6" borderId="5" xfId="3" applyNumberFormat="1" applyFont="1" applyFill="1" applyBorder="1" applyAlignment="1" applyProtection="1">
      <alignment horizontal="center" vertical="center" wrapText="1"/>
      <protection locked="0"/>
    </xf>
    <xf numFmtId="0" fontId="4" fillId="6" borderId="4"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7" fillId="6" borderId="4" xfId="0" applyFont="1" applyFill="1" applyBorder="1" applyAlignment="1">
      <alignment horizontal="center" vertical="center" wrapText="1"/>
    </xf>
    <xf numFmtId="49" fontId="4" fillId="0" borderId="4" xfId="14"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protection locked="0"/>
    </xf>
    <xf numFmtId="49" fontId="3" fillId="0" borderId="1" xfId="14"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protection locked="0"/>
    </xf>
    <xf numFmtId="49" fontId="3" fillId="6" borderId="5" xfId="14" applyFont="1" applyFill="1" applyBorder="1" applyAlignment="1" applyProtection="1">
      <alignment horizontal="center" vertical="center" wrapText="1"/>
      <protection locked="0"/>
    </xf>
    <xf numFmtId="0" fontId="0" fillId="6" borderId="1" xfId="0" applyFont="1" applyFill="1" applyBorder="1" applyAlignment="1" applyProtection="1">
      <alignment horizontal="center" vertical="center" wrapText="1"/>
      <protection locked="0"/>
    </xf>
    <xf numFmtId="0" fontId="4" fillId="6" borderId="4" xfId="14" applyNumberFormat="1" applyFont="1" applyFill="1" applyBorder="1" applyAlignment="1" applyProtection="1">
      <alignment horizontal="center" vertical="center" wrapText="1"/>
      <protection locked="0"/>
    </xf>
    <xf numFmtId="0" fontId="4" fillId="6" borderId="1" xfId="14" applyNumberFormat="1"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49" fontId="3" fillId="6" borderId="3" xfId="14" applyFont="1" applyFill="1" applyBorder="1" applyAlignment="1" applyProtection="1">
      <alignment horizontal="center" vertical="center" wrapText="1"/>
      <protection locked="0"/>
    </xf>
    <xf numFmtId="0" fontId="8" fillId="6" borderId="1" xfId="0" applyFont="1" applyFill="1" applyBorder="1" applyAlignment="1">
      <alignment horizontal="center" vertical="center" wrapText="1"/>
    </xf>
    <xf numFmtId="49" fontId="0" fillId="6" borderId="1" xfId="14" applyFont="1" applyFill="1" applyBorder="1" applyAlignment="1" applyProtection="1">
      <alignment horizontal="center" vertical="center" wrapText="1"/>
      <protection locked="0"/>
    </xf>
    <xf numFmtId="0" fontId="0" fillId="6" borderId="1" xfId="0" applyFill="1" applyBorder="1" applyAlignment="1">
      <alignment horizontal="center" vertical="center"/>
    </xf>
    <xf numFmtId="0" fontId="3" fillId="0" borderId="1" xfId="1" applyNumberFormat="1" applyFont="1" applyBorder="1" applyAlignment="1">
      <alignment horizontal="center" vertical="center"/>
    </xf>
    <xf numFmtId="0" fontId="3" fillId="6" borderId="1" xfId="1" applyNumberFormat="1" applyFont="1" applyFill="1" applyBorder="1" applyAlignment="1">
      <alignment horizontal="center" vertical="center"/>
    </xf>
    <xf numFmtId="0" fontId="0" fillId="0" borderId="1" xfId="0" applyBorder="1" applyAlignment="1">
      <alignment horizontal="center" vertical="center"/>
    </xf>
    <xf numFmtId="49" fontId="0" fillId="6" borderId="5" xfId="14" applyFont="1" applyFill="1" applyBorder="1" applyAlignment="1" applyProtection="1">
      <alignment horizontal="center" vertical="center" wrapText="1"/>
      <protection locked="0"/>
    </xf>
    <xf numFmtId="0" fontId="4" fillId="6" borderId="5" xfId="14" applyNumberFormat="1" applyFont="1" applyFill="1" applyBorder="1" applyAlignment="1" applyProtection="1">
      <alignment horizontal="center" vertical="center" wrapText="1"/>
      <protection locked="0"/>
    </xf>
    <xf numFmtId="0" fontId="0" fillId="6" borderId="5" xfId="0" applyFont="1" applyFill="1" applyBorder="1" applyAlignment="1" applyProtection="1">
      <alignment horizontal="center" vertical="center"/>
      <protection locked="0"/>
    </xf>
    <xf numFmtId="0" fontId="0" fillId="0" borderId="7" xfId="0" applyBorder="1" applyAlignment="1">
      <alignment horizontal="center" vertical="center"/>
    </xf>
    <xf numFmtId="0" fontId="4" fillId="6" borderId="9" xfId="14" applyNumberFormat="1" applyFont="1" applyFill="1" applyBorder="1" applyAlignment="1" applyProtection="1">
      <alignment horizontal="center" vertical="center" wrapText="1"/>
      <protection locked="0"/>
    </xf>
    <xf numFmtId="49" fontId="3" fillId="6" borderId="9" xfId="14" applyFont="1" applyFill="1" applyBorder="1" applyAlignment="1" applyProtection="1">
      <alignment horizontal="center" vertical="center" wrapText="1"/>
      <protection locked="0"/>
    </xf>
    <xf numFmtId="49" fontId="0" fillId="6" borderId="9" xfId="14" applyFont="1" applyFill="1" applyBorder="1" applyAlignment="1" applyProtection="1">
      <alignment horizontal="center" vertical="center" wrapText="1"/>
      <protection locked="0"/>
    </xf>
    <xf numFmtId="164" fontId="3" fillId="6" borderId="9" xfId="3" applyNumberFormat="1" applyFont="1" applyFill="1" applyBorder="1" applyAlignment="1" applyProtection="1">
      <alignment horizontal="center" vertical="center" wrapText="1"/>
      <protection locked="0"/>
    </xf>
    <xf numFmtId="0" fontId="0" fillId="0" borderId="0" xfId="0" applyProtection="1">
      <protection locked="0"/>
    </xf>
    <xf numFmtId="1" fontId="0" fillId="0" borderId="0" xfId="0" applyNumberFormat="1" applyProtection="1">
      <protection locked="0"/>
    </xf>
    <xf numFmtId="0" fontId="2" fillId="2" borderId="2" xfId="7" applyBorder="1" applyProtection="1">
      <alignment horizontal="left" vertical="center" wrapText="1"/>
    </xf>
    <xf numFmtId="0" fontId="0" fillId="0" borderId="10" xfId="0" applyBorder="1" applyProtection="1">
      <protection locked="0"/>
    </xf>
    <xf numFmtId="1" fontId="0" fillId="0" borderId="10" xfId="0" applyNumberFormat="1"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0" xfId="0" applyBorder="1" applyProtection="1">
      <protection locked="0"/>
    </xf>
    <xf numFmtId="1" fontId="0" fillId="0" borderId="0" xfId="0" applyNumberFormat="1" applyBorder="1" applyProtection="1">
      <protection locked="0"/>
    </xf>
    <xf numFmtId="0" fontId="0" fillId="0" borderId="13" xfId="0" applyBorder="1" applyProtection="1">
      <protection locked="0"/>
    </xf>
    <xf numFmtId="0" fontId="0" fillId="6" borderId="6" xfId="0" applyFont="1" applyFill="1" applyBorder="1" applyAlignment="1">
      <alignment horizontal="center" vertical="center" wrapText="1"/>
    </xf>
    <xf numFmtId="49" fontId="4" fillId="6" borderId="15" xfId="14" applyFont="1" applyFill="1" applyBorder="1" applyAlignment="1" applyProtection="1">
      <alignment horizontal="center" vertical="center" wrapText="1"/>
      <protection locked="0"/>
    </xf>
    <xf numFmtId="0" fontId="2" fillId="3" borderId="17" xfId="8" applyBorder="1" applyProtection="1">
      <alignment horizontal="center" vertical="center"/>
    </xf>
    <xf numFmtId="0" fontId="2" fillId="3" borderId="18" xfId="8" applyBorder="1" applyProtection="1">
      <alignment horizontal="center" vertical="center"/>
    </xf>
    <xf numFmtId="0" fontId="6" fillId="6" borderId="19" xfId="27" applyFont="1" applyFill="1" applyBorder="1" applyAlignment="1" applyProtection="1">
      <alignment horizontal="center" vertical="center"/>
      <protection locked="0"/>
    </xf>
    <xf numFmtId="0" fontId="6" fillId="6" borderId="7" xfId="27" applyFont="1" applyFill="1" applyBorder="1" applyAlignment="1" applyProtection="1">
      <alignment horizontal="center" vertical="center"/>
      <protection locked="0"/>
    </xf>
    <xf numFmtId="49" fontId="6" fillId="6" borderId="7" xfId="27" applyNumberFormat="1" applyFont="1" applyFill="1" applyBorder="1" applyAlignment="1" applyProtection="1">
      <alignment horizontal="center" vertical="center" wrapText="1"/>
      <protection locked="0"/>
    </xf>
    <xf numFmtId="0" fontId="6" fillId="0" borderId="7" xfId="27" applyFont="1" applyFill="1" applyBorder="1" applyAlignment="1" applyProtection="1">
      <alignment horizontal="center" vertical="center"/>
      <protection locked="0"/>
    </xf>
    <xf numFmtId="0" fontId="6" fillId="0" borderId="7" xfId="0" applyFont="1" applyBorder="1" applyAlignment="1">
      <alignment horizontal="center" vertical="center"/>
    </xf>
    <xf numFmtId="0" fontId="6" fillId="6" borderId="7" xfId="27"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7" xfId="27" applyFont="1" applyBorder="1" applyAlignment="1">
      <alignment horizontal="center" vertical="center" wrapText="1"/>
    </xf>
    <xf numFmtId="0" fontId="0" fillId="6" borderId="19" xfId="0" applyFont="1" applyFill="1" applyBorder="1" applyAlignment="1">
      <alignment horizontal="center" vertical="center"/>
    </xf>
    <xf numFmtId="0" fontId="0" fillId="6" borderId="7" xfId="0" applyFont="1" applyFill="1" applyBorder="1" applyAlignment="1">
      <alignment horizontal="center" vertical="center"/>
    </xf>
    <xf numFmtId="0" fontId="0" fillId="0" borderId="14" xfId="0" applyBorder="1" applyAlignment="1">
      <alignment horizontal="center" vertical="center"/>
    </xf>
    <xf numFmtId="0" fontId="0" fillId="0" borderId="0" xfId="0" applyAlignment="1" applyProtection="1">
      <alignment wrapText="1"/>
      <protection locked="0"/>
    </xf>
    <xf numFmtId="0" fontId="2" fillId="3" borderId="17" xfId="8" applyBorder="1" applyAlignment="1" applyProtection="1">
      <alignment horizontal="center" vertical="center" wrapText="1"/>
    </xf>
    <xf numFmtId="0" fontId="2" fillId="3" borderId="16" xfId="8" applyBorder="1" applyAlignment="1" applyProtection="1">
      <alignment horizontal="center" vertical="center" wrapText="1"/>
    </xf>
    <xf numFmtId="0" fontId="3" fillId="6" borderId="3" xfId="8" applyFont="1" applyFill="1" applyBorder="1" applyAlignment="1" applyProtection="1">
      <alignment horizontal="center" vertical="center" wrapText="1"/>
    </xf>
    <xf numFmtId="0" fontId="0" fillId="6" borderId="3" xfId="0" applyFont="1" applyFill="1" applyBorder="1" applyAlignment="1">
      <alignment horizontal="center" vertical="center" wrapText="1"/>
    </xf>
    <xf numFmtId="49" fontId="3" fillId="6" borderId="3" xfId="14" applyFont="1" applyFill="1" applyBorder="1" applyAlignment="1" applyProtection="1">
      <alignment horizontal="center" vertical="center" wrapText="1"/>
    </xf>
    <xf numFmtId="0" fontId="0" fillId="6" borderId="3" xfId="0" applyFill="1" applyBorder="1" applyAlignment="1">
      <alignment horizontal="center" vertical="center" wrapText="1"/>
    </xf>
    <xf numFmtId="0" fontId="0" fillId="0" borderId="3" xfId="0" applyBorder="1" applyAlignment="1">
      <alignment horizontal="center" vertical="center" wrapText="1"/>
    </xf>
    <xf numFmtId="0" fontId="0" fillId="6" borderId="3" xfId="0" applyFill="1"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49" fontId="3" fillId="6" borderId="6" xfId="14" applyFont="1" applyFill="1" applyBorder="1" applyAlignment="1" applyProtection="1">
      <alignment horizontal="center" vertical="center" wrapText="1"/>
    </xf>
    <xf numFmtId="49" fontId="3" fillId="6" borderId="8" xfId="14" applyFont="1" applyFill="1" applyBorder="1" applyAlignment="1" applyProtection="1">
      <alignment horizontal="center" vertical="center" wrapText="1"/>
    </xf>
    <xf numFmtId="0" fontId="0" fillId="0" borderId="0" xfId="0" applyAlignment="1" applyProtection="1">
      <alignment horizontal="center" wrapText="1"/>
      <protection locked="0"/>
    </xf>
    <xf numFmtId="1" fontId="2" fillId="3" borderId="17" xfId="8" applyNumberFormat="1" applyBorder="1" applyAlignment="1" applyProtection="1">
      <alignment horizontal="center" vertical="center" wrapText="1"/>
      <protection locked="0"/>
    </xf>
    <xf numFmtId="0" fontId="0" fillId="6" borderId="5" xfId="0" applyFont="1" applyFill="1" applyBorder="1" applyAlignment="1" applyProtection="1">
      <alignment horizontal="center" vertical="center" wrapText="1"/>
      <protection locked="0"/>
    </xf>
    <xf numFmtId="0" fontId="4" fillId="7" borderId="20" xfId="0" applyFont="1" applyFill="1" applyBorder="1" applyAlignment="1" applyProtection="1">
      <alignment horizontal="center" vertical="center" wrapText="1"/>
      <protection locked="0"/>
    </xf>
    <xf numFmtId="0" fontId="4" fillId="7" borderId="21" xfId="0" applyFont="1" applyFill="1" applyBorder="1" applyAlignment="1" applyProtection="1">
      <alignment horizontal="center" vertical="center" wrapText="1"/>
      <protection locked="0"/>
    </xf>
    <xf numFmtId="0" fontId="4" fillId="7" borderId="22" xfId="0" applyFont="1" applyFill="1" applyBorder="1" applyAlignment="1" applyProtection="1">
      <alignment horizontal="center" vertical="center" wrapText="1"/>
      <protection locked="0"/>
    </xf>
  </cellXfs>
  <cellStyles count="28">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EuroCurrency" xfId="17"/>
    <cellStyle name="EuroCurrencyWithBorder" xfId="23"/>
    <cellStyle name="HeaderStyle" xfId="8"/>
    <cellStyle name="HeaderSubTop" xfId="12"/>
    <cellStyle name="HeaderSubTopNoBold" xfId="13"/>
    <cellStyle name="HeaderTopBuyer" xfId="9"/>
    <cellStyle name="HeaderTopStyle" xfId="10"/>
    <cellStyle name="HeaderTopStyleAlignRight" xfId="11"/>
    <cellStyle name="Hipervínculo" xfId="27" builtinId="8"/>
    <cellStyle name="MainTitle" xfId="7"/>
    <cellStyle name="Moneda [0]" xfId="1" builtinId="7"/>
    <cellStyle name="Normal" xfId="0" builtinId="0"/>
    <cellStyle name="Numeric" xfId="20"/>
    <cellStyle name="NumericWithBorder" xfId="24"/>
    <cellStyle name="Percen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1696984</xdr:colOff>
      <xdr:row>1</xdr:row>
      <xdr:rowOff>65690</xdr:rowOff>
    </xdr:from>
    <xdr:to>
      <xdr:col>2</xdr:col>
      <xdr:colOff>1872156</xdr:colOff>
      <xdr:row>1</xdr:row>
      <xdr:rowOff>582865</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1" y="240862"/>
          <a:ext cx="2386724" cy="51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sst@subredsur.gov.co" TargetMode="External"/><Relationship Id="rId21" Type="http://schemas.openxmlformats.org/officeDocument/2006/relationships/hyperlink" Target="mailto:biomedica@subredsur.gov.co" TargetMode="External"/><Relationship Id="rId42" Type="http://schemas.openxmlformats.org/officeDocument/2006/relationships/hyperlink" Target="mailto:gestionambiental@subredsur.gov.co" TargetMode="External"/><Relationship Id="rId47" Type="http://schemas.openxmlformats.org/officeDocument/2006/relationships/hyperlink" Target="mailto:gestionambiental@subredsur.gov.co" TargetMode="External"/><Relationship Id="rId63" Type="http://schemas.openxmlformats.org/officeDocument/2006/relationships/hyperlink" Target="mailto:recursos.fisicos.tunjuelito@subredsur.gov.co" TargetMode="External"/><Relationship Id="rId68" Type="http://schemas.openxmlformats.org/officeDocument/2006/relationships/hyperlink" Target="mailto:jefe.mantenimiento@subredsur.gov.co" TargetMode="External"/><Relationship Id="rId16" Type="http://schemas.openxmlformats.org/officeDocument/2006/relationships/hyperlink" Target="mailto:dir.talentohumano@subredsur.gov.co" TargetMode="External"/><Relationship Id="rId11" Type="http://schemas.openxmlformats.org/officeDocument/2006/relationships/hyperlink" Target="mailto:dir.talentohumano@subredsur.gov.co" TargetMode="External"/><Relationship Id="rId24" Type="http://schemas.openxmlformats.org/officeDocument/2006/relationships/hyperlink" Target="mailto:biomedica@subredsur.gov.co" TargetMode="External"/><Relationship Id="rId32" Type="http://schemas.openxmlformats.org/officeDocument/2006/relationships/hyperlink" Target="mailto:biomedica@subredsur.gov.co" TargetMode="External"/><Relationship Id="rId37" Type="http://schemas.openxmlformats.org/officeDocument/2006/relationships/hyperlink" Target="mailto:biomedica@subredsur.gov.co" TargetMode="External"/><Relationship Id="rId40" Type="http://schemas.openxmlformats.org/officeDocument/2006/relationships/hyperlink" Target="mailto:biomedica@subredsur.gov.co" TargetMode="External"/><Relationship Id="rId45" Type="http://schemas.openxmlformats.org/officeDocument/2006/relationships/hyperlink" Target="mailto:gestionambiental@subredsur.gov.co" TargetMode="External"/><Relationship Id="rId53" Type="http://schemas.openxmlformats.org/officeDocument/2006/relationships/hyperlink" Target="mailto:recursosfisicos.usme@subredsur.gov.co" TargetMode="External"/><Relationship Id="rId58" Type="http://schemas.openxmlformats.org/officeDocument/2006/relationships/hyperlink" Target="mailto:rfisicosvistahermosa@subredsur.gov.co" TargetMode="External"/><Relationship Id="rId66" Type="http://schemas.openxmlformats.org/officeDocument/2006/relationships/hyperlink" Target="mailto:jefe.mantenimiento@subredsur.gov.co" TargetMode="External"/><Relationship Id="rId74" Type="http://schemas.openxmlformats.org/officeDocument/2006/relationships/hyperlink" Target="mailto:gestionsuministros@subredsur.gov.co" TargetMode="External"/><Relationship Id="rId5" Type="http://schemas.openxmlformats.org/officeDocument/2006/relationships/hyperlink" Target="mailto:jefe.sistemastics@subredsur.gov.co" TargetMode="External"/><Relationship Id="rId61" Type="http://schemas.openxmlformats.org/officeDocument/2006/relationships/hyperlink" Target="mailto:recursosfisicostunal@subredsur.gov.co" TargetMode="External"/><Relationship Id="rId19" Type="http://schemas.openxmlformats.org/officeDocument/2006/relationships/hyperlink" Target="mailto:dir.talentohumano@subredsur.gov.co" TargetMode="External"/><Relationship Id="rId14" Type="http://schemas.openxmlformats.org/officeDocument/2006/relationships/hyperlink" Target="mailto:dir.talentohumano@subredsur.gov.co" TargetMode="External"/><Relationship Id="rId22" Type="http://schemas.openxmlformats.org/officeDocument/2006/relationships/hyperlink" Target="mailto:biomedica@subredsur.gov.co" TargetMode="External"/><Relationship Id="rId27" Type="http://schemas.openxmlformats.org/officeDocument/2006/relationships/hyperlink" Target="mailto:recursosfisicos.usme@subredsur.gov.co" TargetMode="External"/><Relationship Id="rId30" Type="http://schemas.openxmlformats.org/officeDocument/2006/relationships/hyperlink" Target="mailto:biomedica@subredsur.gov.co" TargetMode="External"/><Relationship Id="rId35" Type="http://schemas.openxmlformats.org/officeDocument/2006/relationships/hyperlink" Target="mailto:biomedica@subredsur.gov.co" TargetMode="External"/><Relationship Id="rId43" Type="http://schemas.openxmlformats.org/officeDocument/2006/relationships/hyperlink" Target="mailto:gestionambiental@subredsur.gov.co" TargetMode="External"/><Relationship Id="rId48" Type="http://schemas.openxmlformats.org/officeDocument/2006/relationships/hyperlink" Target="mailto:gestionambiental@subredsur.gov.co" TargetMode="External"/><Relationship Id="rId56" Type="http://schemas.openxmlformats.org/officeDocument/2006/relationships/hyperlink" Target="mailto:recursosfisicosmeissen@subredsur.gov.co" TargetMode="External"/><Relationship Id="rId64" Type="http://schemas.openxmlformats.org/officeDocument/2006/relationships/hyperlink" Target="mailto:recursos.fisicos.tunjuelito@subredsur.gov.co" TargetMode="External"/><Relationship Id="rId69" Type="http://schemas.openxmlformats.org/officeDocument/2006/relationships/hyperlink" Target="mailto:servicios.basicos.nazareth@subredsur.gov.co" TargetMode="External"/><Relationship Id="rId77" Type="http://schemas.openxmlformats.org/officeDocument/2006/relationships/drawing" Target="../drawings/drawing1.xml"/><Relationship Id="rId8" Type="http://schemas.openxmlformats.org/officeDocument/2006/relationships/hyperlink" Target="mailto:jefe.sistemastics@subredsur.gov.co" TargetMode="External"/><Relationship Id="rId51" Type="http://schemas.openxmlformats.org/officeDocument/2006/relationships/hyperlink" Target="mailto:recursosfisicos.usme@subredsur.gov.co" TargetMode="External"/><Relationship Id="rId72" Type="http://schemas.openxmlformats.org/officeDocument/2006/relationships/hyperlink" Target="mailto:gestionsuministros@subredsur.gov.co" TargetMode="External"/><Relationship Id="rId3" Type="http://schemas.openxmlformats.org/officeDocument/2006/relationships/hyperlink" Target="mailto:jefe.sistemastics@subredsur.gov.co" TargetMode="External"/><Relationship Id="rId12" Type="http://schemas.openxmlformats.org/officeDocument/2006/relationships/hyperlink" Target="mailto:dir.talentohumano@subredsur.gov.co" TargetMode="External"/><Relationship Id="rId17" Type="http://schemas.openxmlformats.org/officeDocument/2006/relationships/hyperlink" Target="mailto:dir.talentohumano@subredsur.gov.co" TargetMode="External"/><Relationship Id="rId25" Type="http://schemas.openxmlformats.org/officeDocument/2006/relationships/hyperlink" Target="mailto:recursosfisicos.usme@subredsur.gov.co" TargetMode="External"/><Relationship Id="rId33" Type="http://schemas.openxmlformats.org/officeDocument/2006/relationships/hyperlink" Target="mailto:biomedica@subredsur.gov.co" TargetMode="External"/><Relationship Id="rId38" Type="http://schemas.openxmlformats.org/officeDocument/2006/relationships/hyperlink" Target="mailto:biomedica@subredsur.gov.co" TargetMode="External"/><Relationship Id="rId46" Type="http://schemas.openxmlformats.org/officeDocument/2006/relationships/hyperlink" Target="mailto:gestionambiental@subredsur.gov.co" TargetMode="External"/><Relationship Id="rId59" Type="http://schemas.openxmlformats.org/officeDocument/2006/relationships/hyperlink" Target="mailto:rfisicosvistahermosa@subredsur.gov.co" TargetMode="External"/><Relationship Id="rId67" Type="http://schemas.openxmlformats.org/officeDocument/2006/relationships/hyperlink" Target="mailto:jefe.mantenimiento@subredsur.gov.co" TargetMode="External"/><Relationship Id="rId20" Type="http://schemas.openxmlformats.org/officeDocument/2006/relationships/hyperlink" Target="mailto:activos.fijos.lider@subredsur.gov.co" TargetMode="External"/><Relationship Id="rId41" Type="http://schemas.openxmlformats.org/officeDocument/2006/relationships/hyperlink" Target="mailto:jefe.mantenimiento@subredsur.gov.co" TargetMode="External"/><Relationship Id="rId54" Type="http://schemas.openxmlformats.org/officeDocument/2006/relationships/hyperlink" Target="mailto:recursosfisicos.usme@subredsur.gov.co" TargetMode="External"/><Relationship Id="rId62" Type="http://schemas.openxmlformats.org/officeDocument/2006/relationships/hyperlink" Target="mailto:recursos.fisicos.tunjuelito@subredsur.gov.co" TargetMode="External"/><Relationship Id="rId70" Type="http://schemas.openxmlformats.org/officeDocument/2006/relationships/hyperlink" Target="mailto:medicoquirurgicos@subredsur.gov.co" TargetMode="External"/><Relationship Id="rId75" Type="http://schemas.openxmlformats.org/officeDocument/2006/relationships/hyperlink" Target="mailto:gestionsuministros@subredsur.gov.co" TargetMode="External"/><Relationship Id="rId1" Type="http://schemas.openxmlformats.org/officeDocument/2006/relationships/hyperlink" Target="mailto:jefe.sistemastics@subredsur.gov.co" TargetMode="External"/><Relationship Id="rId6" Type="http://schemas.openxmlformats.org/officeDocument/2006/relationships/hyperlink" Target="mailto:jefe.sistemastics@subredsur.gov.co" TargetMode="External"/><Relationship Id="rId15" Type="http://schemas.openxmlformats.org/officeDocument/2006/relationships/hyperlink" Target="mailto:dir.talentohumano@subredsur.gov.co" TargetMode="External"/><Relationship Id="rId23" Type="http://schemas.openxmlformats.org/officeDocument/2006/relationships/hyperlink" Target="mailto:biomedica@subredsur.gov.co" TargetMode="External"/><Relationship Id="rId28" Type="http://schemas.openxmlformats.org/officeDocument/2006/relationships/hyperlink" Target="mailto:biomedica@subredsur.gov.co" TargetMode="External"/><Relationship Id="rId36" Type="http://schemas.openxmlformats.org/officeDocument/2006/relationships/hyperlink" Target="mailto:biomedica@subredsur.gov.co" TargetMode="External"/><Relationship Id="rId49" Type="http://schemas.openxmlformats.org/officeDocument/2006/relationships/hyperlink" Target="mailto:gestionambiental@subredsur.gov.co" TargetMode="External"/><Relationship Id="rId57" Type="http://schemas.openxmlformats.org/officeDocument/2006/relationships/hyperlink" Target="mailto:recursosfisicosmeissen@subredsur.gov.co" TargetMode="External"/><Relationship Id="rId10" Type="http://schemas.openxmlformats.org/officeDocument/2006/relationships/hyperlink" Target="mailto:jefe.sistemastics@subredsur.gov.co" TargetMode="External"/><Relationship Id="rId31" Type="http://schemas.openxmlformats.org/officeDocument/2006/relationships/hyperlink" Target="mailto:biomedica@subredsur.gov.co" TargetMode="External"/><Relationship Id="rId44" Type="http://schemas.openxmlformats.org/officeDocument/2006/relationships/hyperlink" Target="mailto:gestionambiental@subredsur.gov.co" TargetMode="External"/><Relationship Id="rId52" Type="http://schemas.openxmlformats.org/officeDocument/2006/relationships/hyperlink" Target="mailto:recursosfisicos.usme@subredsur.gov.co" TargetMode="External"/><Relationship Id="rId60" Type="http://schemas.openxmlformats.org/officeDocument/2006/relationships/hyperlink" Target="mailto:rfisicosvistahermosa@subredsur.gov.co" TargetMode="External"/><Relationship Id="rId65" Type="http://schemas.openxmlformats.org/officeDocument/2006/relationships/hyperlink" Target="mailto:recursosfisicostunal@subredsur.gov.co" TargetMode="External"/><Relationship Id="rId73" Type="http://schemas.openxmlformats.org/officeDocument/2006/relationships/hyperlink" Target="mailto:gestionsuministros@subredsur.gov.co" TargetMode="External"/><Relationship Id="rId4" Type="http://schemas.openxmlformats.org/officeDocument/2006/relationships/hyperlink" Target="mailto:jefe.sistemastics@subredsur.gov.co" TargetMode="External"/><Relationship Id="rId9" Type="http://schemas.openxmlformats.org/officeDocument/2006/relationships/hyperlink" Target="mailto:jefe.sistemastics@subredsur.gov.co" TargetMode="External"/><Relationship Id="rId13" Type="http://schemas.openxmlformats.org/officeDocument/2006/relationships/hyperlink" Target="mailto:dir.talentohumano@subredsur.gov.co" TargetMode="External"/><Relationship Id="rId18" Type="http://schemas.openxmlformats.org/officeDocument/2006/relationships/hyperlink" Target="mailto:dir.talentohumano@subredsur.gov.co" TargetMode="External"/><Relationship Id="rId39" Type="http://schemas.openxmlformats.org/officeDocument/2006/relationships/hyperlink" Target="mailto:biomedica@subredsur.gov.co" TargetMode="External"/><Relationship Id="rId34" Type="http://schemas.openxmlformats.org/officeDocument/2006/relationships/hyperlink" Target="mailto:biomedica@subredsur.gov.co" TargetMode="External"/><Relationship Id="rId50" Type="http://schemas.openxmlformats.org/officeDocument/2006/relationships/hyperlink" Target="mailto:jefe.mantenimiento@subredsur.gov.co" TargetMode="External"/><Relationship Id="rId55" Type="http://schemas.openxmlformats.org/officeDocument/2006/relationships/hyperlink" Target="mailto:recursosfisicos.usme@subredsur.gov.co" TargetMode="External"/><Relationship Id="rId76" Type="http://schemas.openxmlformats.org/officeDocument/2006/relationships/printerSettings" Target="../printerSettings/printerSettings1.bin"/><Relationship Id="rId7" Type="http://schemas.openxmlformats.org/officeDocument/2006/relationships/hyperlink" Target="mailto:jefe.sistemastics@subredsur.gov.co" TargetMode="External"/><Relationship Id="rId71" Type="http://schemas.openxmlformats.org/officeDocument/2006/relationships/hyperlink" Target="mailto:medicoquirurgicos@subredsur.gov.co" TargetMode="External"/><Relationship Id="rId2" Type="http://schemas.openxmlformats.org/officeDocument/2006/relationships/hyperlink" Target="mailto:jefe.sistemastics@subredsur.gov.co" TargetMode="External"/><Relationship Id="rId29" Type="http://schemas.openxmlformats.org/officeDocument/2006/relationships/hyperlink" Target="mailto:recursosfisicos.usme@subredsu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48"/>
  <sheetViews>
    <sheetView tabSelected="1" zoomScale="87" zoomScaleNormal="87" workbookViewId="0">
      <selection activeCell="B2" sqref="B2:R2"/>
    </sheetView>
  </sheetViews>
  <sheetFormatPr baseColWidth="10" defaultColWidth="9.140625" defaultRowHeight="12.75" x14ac:dyDescent="0.2"/>
  <cols>
    <col min="1" max="1" width="3.140625" customWidth="1"/>
    <col min="2" max="2" width="33.140625" style="62" customWidth="1"/>
    <col min="3" max="3" width="104.7109375" style="74" customWidth="1"/>
    <col min="4" max="4" width="35.42578125" style="1" customWidth="1"/>
    <col min="5" max="5" width="33.85546875" style="1" customWidth="1"/>
    <col min="6" max="6" width="28.42578125" style="1" customWidth="1"/>
    <col min="7" max="7" width="33.7109375" style="1" customWidth="1"/>
    <col min="8" max="8" width="26.42578125" style="1" customWidth="1"/>
    <col min="9" max="9" width="25.42578125" style="1" customWidth="1"/>
    <col min="10" max="10" width="25.28515625" style="2" customWidth="1"/>
    <col min="11" max="11" width="31.7109375" style="2" customWidth="1"/>
    <col min="12" max="12" width="28.7109375" style="1" customWidth="1"/>
    <col min="13" max="13" width="32.85546875" style="1" customWidth="1"/>
    <col min="14" max="14" width="26.7109375" style="62" customWidth="1"/>
    <col min="15" max="15" width="17.5703125" style="1" customWidth="1"/>
    <col min="16" max="16" width="43" style="62" customWidth="1"/>
    <col min="17" max="17" width="28.28515625" style="1" customWidth="1"/>
    <col min="18" max="18" width="40.7109375" style="1" customWidth="1"/>
    <col min="19" max="19" width="9.140625" style="1" customWidth="1"/>
  </cols>
  <sheetData>
    <row r="1" spans="2:19" ht="13.5" thickBot="1" x14ac:dyDescent="0.25">
      <c r="D1" s="37"/>
      <c r="E1" s="37"/>
      <c r="F1" s="37"/>
      <c r="G1" s="37"/>
      <c r="H1" s="37"/>
      <c r="I1" s="37"/>
      <c r="J1" s="38"/>
      <c r="K1" s="38"/>
      <c r="L1" s="37"/>
      <c r="M1" s="37"/>
      <c r="O1" s="37"/>
      <c r="Q1" s="37"/>
      <c r="R1" s="37"/>
      <c r="S1" s="37"/>
    </row>
    <row r="2" spans="2:19" ht="54" customHeight="1" thickBot="1" x14ac:dyDescent="0.25">
      <c r="B2" s="77" t="s">
        <v>332</v>
      </c>
      <c r="C2" s="78"/>
      <c r="D2" s="78"/>
      <c r="E2" s="78"/>
      <c r="F2" s="78"/>
      <c r="G2" s="78"/>
      <c r="H2" s="78"/>
      <c r="I2" s="78"/>
      <c r="J2" s="78"/>
      <c r="K2" s="78"/>
      <c r="L2" s="78"/>
      <c r="M2" s="78"/>
      <c r="N2" s="78"/>
      <c r="O2" s="78"/>
      <c r="P2" s="78"/>
      <c r="Q2" s="78"/>
      <c r="R2" s="79"/>
      <c r="S2" s="37"/>
    </row>
    <row r="3" spans="2:19" x14ac:dyDescent="0.2">
      <c r="B3" s="39" t="s">
        <v>10</v>
      </c>
      <c r="C3" s="40"/>
      <c r="D3" s="40"/>
      <c r="E3" s="40"/>
      <c r="F3" s="40"/>
      <c r="G3" s="40"/>
      <c r="H3" s="40"/>
      <c r="I3" s="40"/>
      <c r="J3" s="41"/>
      <c r="K3" s="41"/>
      <c r="L3" s="40"/>
      <c r="M3" s="40"/>
      <c r="N3" s="40"/>
      <c r="O3" s="40"/>
      <c r="P3" s="40"/>
      <c r="Q3" s="40"/>
      <c r="R3" s="42"/>
    </row>
    <row r="4" spans="2:19" x14ac:dyDescent="0.2">
      <c r="B4" s="43"/>
      <c r="C4" s="44"/>
      <c r="D4" s="44"/>
      <c r="E4" s="44"/>
      <c r="F4" s="44"/>
      <c r="G4" s="44"/>
      <c r="H4" s="44"/>
      <c r="I4" s="44"/>
      <c r="J4" s="45"/>
      <c r="K4" s="45"/>
      <c r="L4" s="44"/>
      <c r="M4" s="44"/>
      <c r="N4" s="44"/>
      <c r="O4" s="44"/>
      <c r="P4" s="44"/>
      <c r="Q4" s="44"/>
      <c r="R4" s="46"/>
    </row>
    <row r="5" spans="2:19" ht="13.5" thickBot="1" x14ac:dyDescent="0.25">
      <c r="B5" s="43"/>
      <c r="C5" s="44"/>
      <c r="D5" s="44"/>
      <c r="E5" s="44"/>
      <c r="F5" s="44"/>
      <c r="G5" s="44"/>
      <c r="H5" s="44"/>
      <c r="I5" s="44"/>
      <c r="J5" s="45"/>
      <c r="K5" s="45"/>
      <c r="L5" s="44"/>
      <c r="M5" s="44"/>
      <c r="N5" s="44"/>
      <c r="O5" s="44"/>
      <c r="P5" s="44"/>
      <c r="Q5" s="44"/>
      <c r="R5" s="46"/>
    </row>
    <row r="6" spans="2:19" ht="39" thickBot="1" x14ac:dyDescent="0.25">
      <c r="B6" s="64" t="s">
        <v>11</v>
      </c>
      <c r="C6" s="63" t="s">
        <v>12</v>
      </c>
      <c r="D6" s="63" t="s">
        <v>13</v>
      </c>
      <c r="E6" s="63" t="s">
        <v>14</v>
      </c>
      <c r="F6" s="63" t="s">
        <v>15</v>
      </c>
      <c r="G6" s="63" t="s">
        <v>2</v>
      </c>
      <c r="H6" s="63" t="s">
        <v>1</v>
      </c>
      <c r="I6" s="63" t="s">
        <v>4</v>
      </c>
      <c r="J6" s="75" t="s">
        <v>16</v>
      </c>
      <c r="K6" s="75" t="s">
        <v>17</v>
      </c>
      <c r="L6" s="63" t="s">
        <v>7</v>
      </c>
      <c r="M6" s="63" t="s">
        <v>5</v>
      </c>
      <c r="N6" s="63" t="s">
        <v>18</v>
      </c>
      <c r="O6" s="49" t="s">
        <v>0</v>
      </c>
      <c r="P6" s="63" t="s">
        <v>19</v>
      </c>
      <c r="Q6" s="49" t="s">
        <v>20</v>
      </c>
      <c r="R6" s="50" t="s">
        <v>21</v>
      </c>
    </row>
    <row r="7" spans="2:19" ht="38.25" x14ac:dyDescent="0.2">
      <c r="B7" s="47" t="s">
        <v>88</v>
      </c>
      <c r="C7" s="48" t="s">
        <v>38</v>
      </c>
      <c r="D7" s="31">
        <v>1</v>
      </c>
      <c r="E7" s="31">
        <v>2</v>
      </c>
      <c r="F7" s="31">
        <v>2</v>
      </c>
      <c r="G7" s="31">
        <v>1</v>
      </c>
      <c r="H7" s="17" t="s">
        <v>6</v>
      </c>
      <c r="I7" s="31">
        <v>0</v>
      </c>
      <c r="J7" s="8">
        <f>12396000*2</f>
        <v>24792000</v>
      </c>
      <c r="K7" s="8">
        <f>+(J7/F7)*(13-E7)</f>
        <v>136356000</v>
      </c>
      <c r="L7" s="31">
        <v>0</v>
      </c>
      <c r="M7" s="31">
        <v>0</v>
      </c>
      <c r="N7" s="76" t="s">
        <v>26</v>
      </c>
      <c r="O7" s="17" t="s">
        <v>3</v>
      </c>
      <c r="P7" s="17" t="s">
        <v>30</v>
      </c>
      <c r="Q7" s="31" t="s">
        <v>89</v>
      </c>
      <c r="R7" s="51" t="s">
        <v>37</v>
      </c>
    </row>
    <row r="8" spans="2:19" ht="25.5" x14ac:dyDescent="0.2">
      <c r="B8" s="3" t="s">
        <v>90</v>
      </c>
      <c r="C8" s="4" t="s">
        <v>91</v>
      </c>
      <c r="D8" s="5">
        <v>6</v>
      </c>
      <c r="E8" s="5">
        <v>7</v>
      </c>
      <c r="F8" s="5">
        <v>4</v>
      </c>
      <c r="G8" s="5">
        <v>1</v>
      </c>
      <c r="H8" s="6" t="s">
        <v>6</v>
      </c>
      <c r="I8" s="5">
        <v>0</v>
      </c>
      <c r="J8" s="7">
        <f>15000000*4</f>
        <v>60000000</v>
      </c>
      <c r="K8" s="8">
        <f>+(J8/F8)*(13-E8)</f>
        <v>90000000</v>
      </c>
      <c r="L8" s="5">
        <v>0</v>
      </c>
      <c r="M8" s="5">
        <v>0</v>
      </c>
      <c r="N8" s="18" t="s">
        <v>26</v>
      </c>
      <c r="O8" s="6" t="s">
        <v>3</v>
      </c>
      <c r="P8" s="6" t="s">
        <v>30</v>
      </c>
      <c r="Q8" s="5" t="s">
        <v>89</v>
      </c>
      <c r="R8" s="52" t="s">
        <v>37</v>
      </c>
    </row>
    <row r="9" spans="2:19" ht="25.5" x14ac:dyDescent="0.2">
      <c r="B9" s="3" t="s">
        <v>92</v>
      </c>
      <c r="C9" s="9" t="s">
        <v>93</v>
      </c>
      <c r="D9" s="5">
        <v>3</v>
      </c>
      <c r="E9" s="5">
        <v>4</v>
      </c>
      <c r="F9" s="5">
        <v>3</v>
      </c>
      <c r="G9" s="5">
        <v>1</v>
      </c>
      <c r="H9" s="6" t="s">
        <v>6</v>
      </c>
      <c r="I9" s="5">
        <v>0</v>
      </c>
      <c r="J9" s="7">
        <v>16000000</v>
      </c>
      <c r="K9" s="7">
        <v>16000000</v>
      </c>
      <c r="L9" s="5">
        <v>0</v>
      </c>
      <c r="M9" s="5">
        <v>0</v>
      </c>
      <c r="N9" s="18" t="s">
        <v>26</v>
      </c>
      <c r="O9" s="6" t="s">
        <v>3</v>
      </c>
      <c r="P9" s="10" t="s">
        <v>94</v>
      </c>
      <c r="Q9" s="5">
        <v>3204948379</v>
      </c>
      <c r="R9" s="52" t="s">
        <v>95</v>
      </c>
    </row>
    <row r="10" spans="2:19" ht="25.5" x14ac:dyDescent="0.2">
      <c r="B10" s="3" t="s">
        <v>96</v>
      </c>
      <c r="C10" s="4" t="s">
        <v>97</v>
      </c>
      <c r="D10" s="5">
        <v>6</v>
      </c>
      <c r="E10" s="5">
        <v>7</v>
      </c>
      <c r="F10" s="5">
        <v>4</v>
      </c>
      <c r="G10" s="5">
        <v>1</v>
      </c>
      <c r="H10" s="6" t="s">
        <v>6</v>
      </c>
      <c r="I10" s="5">
        <v>0</v>
      </c>
      <c r="J10" s="7">
        <f>5165000*4</f>
        <v>20660000</v>
      </c>
      <c r="K10" s="7">
        <f t="shared" ref="K10:K21" si="0">+(J10/F10)*(13-E10)</f>
        <v>30990000</v>
      </c>
      <c r="L10" s="5">
        <v>0</v>
      </c>
      <c r="M10" s="5">
        <v>0</v>
      </c>
      <c r="N10" s="18" t="s">
        <v>26</v>
      </c>
      <c r="O10" s="6" t="s">
        <v>3</v>
      </c>
      <c r="P10" s="6" t="s">
        <v>30</v>
      </c>
      <c r="Q10" s="5" t="s">
        <v>89</v>
      </c>
      <c r="R10" s="52" t="s">
        <v>37</v>
      </c>
    </row>
    <row r="11" spans="2:19" ht="25.5" x14ac:dyDescent="0.2">
      <c r="B11" s="3" t="s">
        <v>98</v>
      </c>
      <c r="C11" s="9" t="s">
        <v>99</v>
      </c>
      <c r="D11" s="5">
        <v>2</v>
      </c>
      <c r="E11" s="5">
        <v>2</v>
      </c>
      <c r="F11" s="5">
        <v>2</v>
      </c>
      <c r="G11" s="5">
        <v>1</v>
      </c>
      <c r="H11" s="6" t="s">
        <v>6</v>
      </c>
      <c r="I11" s="5">
        <v>0</v>
      </c>
      <c r="J11" s="7">
        <f>250000000*2</f>
        <v>500000000</v>
      </c>
      <c r="K11" s="7">
        <f t="shared" si="0"/>
        <v>2750000000</v>
      </c>
      <c r="L11" s="5">
        <v>0</v>
      </c>
      <c r="M11" s="5">
        <v>0</v>
      </c>
      <c r="N11" s="18" t="s">
        <v>26</v>
      </c>
      <c r="O11" s="6" t="s">
        <v>3</v>
      </c>
      <c r="P11" s="6" t="s">
        <v>30</v>
      </c>
      <c r="Q11" s="5">
        <v>3006589235</v>
      </c>
      <c r="R11" s="52" t="s">
        <v>74</v>
      </c>
    </row>
    <row r="12" spans="2:19" ht="38.25" x14ac:dyDescent="0.2">
      <c r="B12" s="3" t="s">
        <v>90</v>
      </c>
      <c r="C12" s="11" t="s">
        <v>100</v>
      </c>
      <c r="D12" s="5">
        <v>4</v>
      </c>
      <c r="E12" s="5">
        <v>5</v>
      </c>
      <c r="F12" s="5">
        <v>4</v>
      </c>
      <c r="G12" s="5">
        <v>1</v>
      </c>
      <c r="H12" s="6" t="s">
        <v>6</v>
      </c>
      <c r="I12" s="5">
        <v>0</v>
      </c>
      <c r="J12" s="7">
        <f>611000000*4</f>
        <v>2444000000</v>
      </c>
      <c r="K12" s="7">
        <f t="shared" si="0"/>
        <v>4888000000</v>
      </c>
      <c r="L12" s="5">
        <v>0</v>
      </c>
      <c r="M12" s="5">
        <v>0</v>
      </c>
      <c r="N12" s="18" t="s">
        <v>26</v>
      </c>
      <c r="O12" s="6" t="s">
        <v>3</v>
      </c>
      <c r="P12" s="6" t="s">
        <v>30</v>
      </c>
      <c r="Q12" s="5">
        <v>3202352178</v>
      </c>
      <c r="R12" s="52" t="s">
        <v>101</v>
      </c>
    </row>
    <row r="13" spans="2:19" ht="25.5" x14ac:dyDescent="0.2">
      <c r="B13" s="3" t="s">
        <v>102</v>
      </c>
      <c r="C13" s="9" t="s">
        <v>103</v>
      </c>
      <c r="D13" s="5">
        <v>2</v>
      </c>
      <c r="E13" s="5">
        <v>3</v>
      </c>
      <c r="F13" s="5">
        <v>4</v>
      </c>
      <c r="G13" s="5">
        <v>1</v>
      </c>
      <c r="H13" s="6" t="s">
        <v>6</v>
      </c>
      <c r="I13" s="5">
        <v>0</v>
      </c>
      <c r="J13" s="7">
        <v>40000000</v>
      </c>
      <c r="K13" s="7">
        <f t="shared" si="0"/>
        <v>100000000</v>
      </c>
      <c r="L13" s="5">
        <v>0</v>
      </c>
      <c r="M13" s="5">
        <v>0</v>
      </c>
      <c r="N13" s="18" t="s">
        <v>26</v>
      </c>
      <c r="O13" s="6" t="s">
        <v>3</v>
      </c>
      <c r="P13" s="6" t="s">
        <v>30</v>
      </c>
      <c r="Q13" s="5">
        <v>3202352178</v>
      </c>
      <c r="R13" s="52" t="s">
        <v>101</v>
      </c>
    </row>
    <row r="14" spans="2:19" ht="38.25" x14ac:dyDescent="0.2">
      <c r="B14" s="3" t="s">
        <v>104</v>
      </c>
      <c r="C14" s="9" t="s">
        <v>105</v>
      </c>
      <c r="D14" s="5">
        <v>9</v>
      </c>
      <c r="E14" s="5">
        <v>10</v>
      </c>
      <c r="F14" s="5">
        <v>3</v>
      </c>
      <c r="G14" s="5">
        <v>1</v>
      </c>
      <c r="H14" s="6" t="s">
        <v>6</v>
      </c>
      <c r="I14" s="5">
        <v>0</v>
      </c>
      <c r="J14" s="7">
        <f>9000000*F14</f>
        <v>27000000</v>
      </c>
      <c r="K14" s="7">
        <f t="shared" si="0"/>
        <v>27000000</v>
      </c>
      <c r="L14" s="5">
        <v>0</v>
      </c>
      <c r="M14" s="5">
        <v>0</v>
      </c>
      <c r="N14" s="18" t="s">
        <v>26</v>
      </c>
      <c r="O14" s="6" t="s">
        <v>3</v>
      </c>
      <c r="P14" s="6" t="s">
        <v>30</v>
      </c>
      <c r="Q14" s="5">
        <v>3202352178</v>
      </c>
      <c r="R14" s="52" t="s">
        <v>101</v>
      </c>
    </row>
    <row r="15" spans="2:19" ht="38.25" x14ac:dyDescent="0.2">
      <c r="B15" s="3" t="s">
        <v>32</v>
      </c>
      <c r="C15" s="9" t="s">
        <v>33</v>
      </c>
      <c r="D15" s="5">
        <v>1</v>
      </c>
      <c r="E15" s="5">
        <v>1</v>
      </c>
      <c r="F15" s="5">
        <v>3</v>
      </c>
      <c r="G15" s="5">
        <v>1</v>
      </c>
      <c r="H15" s="6" t="s">
        <v>6</v>
      </c>
      <c r="I15" s="5">
        <v>0</v>
      </c>
      <c r="J15" s="7">
        <v>60000000</v>
      </c>
      <c r="K15" s="7">
        <f t="shared" si="0"/>
        <v>240000000</v>
      </c>
      <c r="L15" s="5">
        <v>0</v>
      </c>
      <c r="M15" s="5">
        <v>0</v>
      </c>
      <c r="N15" s="18" t="s">
        <v>26</v>
      </c>
      <c r="O15" s="6" t="s">
        <v>3</v>
      </c>
      <c r="P15" s="6" t="s">
        <v>30</v>
      </c>
      <c r="Q15" s="5">
        <v>3002074094</v>
      </c>
      <c r="R15" s="52" t="s">
        <v>35</v>
      </c>
    </row>
    <row r="16" spans="2:19" ht="38.25" x14ac:dyDescent="0.2">
      <c r="B16" s="3" t="s">
        <v>106</v>
      </c>
      <c r="C16" s="9" t="s">
        <v>107</v>
      </c>
      <c r="D16" s="5">
        <v>10</v>
      </c>
      <c r="E16" s="5">
        <v>11</v>
      </c>
      <c r="F16" s="5">
        <v>3</v>
      </c>
      <c r="G16" s="5">
        <v>1</v>
      </c>
      <c r="H16" s="6" t="s">
        <v>6</v>
      </c>
      <c r="I16" s="5">
        <v>0</v>
      </c>
      <c r="J16" s="7">
        <v>30000000</v>
      </c>
      <c r="K16" s="7">
        <f t="shared" si="0"/>
        <v>20000000</v>
      </c>
      <c r="L16" s="5">
        <v>0</v>
      </c>
      <c r="M16" s="5">
        <v>0</v>
      </c>
      <c r="N16" s="18" t="s">
        <v>26</v>
      </c>
      <c r="O16" s="6" t="s">
        <v>3</v>
      </c>
      <c r="P16" s="6" t="s">
        <v>30</v>
      </c>
      <c r="Q16" s="5">
        <v>3002074094</v>
      </c>
      <c r="R16" s="52" t="s">
        <v>35</v>
      </c>
    </row>
    <row r="17" spans="2:18" ht="25.5" x14ac:dyDescent="0.2">
      <c r="B17" s="3" t="s">
        <v>108</v>
      </c>
      <c r="C17" s="9" t="s">
        <v>109</v>
      </c>
      <c r="D17" s="5">
        <v>5</v>
      </c>
      <c r="E17" s="5">
        <v>6</v>
      </c>
      <c r="F17" s="5">
        <v>4</v>
      </c>
      <c r="G17" s="5">
        <v>1</v>
      </c>
      <c r="H17" s="6" t="s">
        <v>6</v>
      </c>
      <c r="I17" s="5">
        <v>0</v>
      </c>
      <c r="J17" s="7">
        <v>16000000</v>
      </c>
      <c r="K17" s="7">
        <f t="shared" si="0"/>
        <v>28000000</v>
      </c>
      <c r="L17" s="5">
        <v>0</v>
      </c>
      <c r="M17" s="5">
        <v>0</v>
      </c>
      <c r="N17" s="18" t="s">
        <v>26</v>
      </c>
      <c r="O17" s="6" t="s">
        <v>3</v>
      </c>
      <c r="P17" s="6" t="s">
        <v>30</v>
      </c>
      <c r="Q17" s="5">
        <v>3002074094</v>
      </c>
      <c r="R17" s="52" t="s">
        <v>35</v>
      </c>
    </row>
    <row r="18" spans="2:18" ht="38.25" x14ac:dyDescent="0.2">
      <c r="B18" s="3" t="s">
        <v>80</v>
      </c>
      <c r="C18" s="9" t="s">
        <v>110</v>
      </c>
      <c r="D18" s="5">
        <v>4</v>
      </c>
      <c r="E18" s="5">
        <v>5</v>
      </c>
      <c r="F18" s="5">
        <v>4</v>
      </c>
      <c r="G18" s="5">
        <v>1</v>
      </c>
      <c r="H18" s="6" t="s">
        <v>6</v>
      </c>
      <c r="I18" s="5">
        <v>0</v>
      </c>
      <c r="J18" s="7">
        <f>10650000*4</f>
        <v>42600000</v>
      </c>
      <c r="K18" s="7">
        <f t="shared" si="0"/>
        <v>85200000</v>
      </c>
      <c r="L18" s="5">
        <v>0</v>
      </c>
      <c r="M18" s="5">
        <v>0</v>
      </c>
      <c r="N18" s="18" t="s">
        <v>26</v>
      </c>
      <c r="O18" s="6" t="s">
        <v>3</v>
      </c>
      <c r="P18" s="6" t="s">
        <v>30</v>
      </c>
      <c r="Q18" s="5">
        <v>3002074094</v>
      </c>
      <c r="R18" s="52" t="s">
        <v>35</v>
      </c>
    </row>
    <row r="19" spans="2:18" ht="25.5" x14ac:dyDescent="0.2">
      <c r="B19" s="3" t="s">
        <v>54</v>
      </c>
      <c r="C19" s="12" t="s">
        <v>111</v>
      </c>
      <c r="D19" s="5">
        <v>4</v>
      </c>
      <c r="E19" s="5">
        <v>5</v>
      </c>
      <c r="F19" s="5">
        <v>4</v>
      </c>
      <c r="G19" s="5">
        <v>1</v>
      </c>
      <c r="H19" s="6" t="s">
        <v>6</v>
      </c>
      <c r="I19" s="5">
        <v>0</v>
      </c>
      <c r="J19" s="7">
        <v>16608594</v>
      </c>
      <c r="K19" s="7">
        <f t="shared" si="0"/>
        <v>33217188</v>
      </c>
      <c r="L19" s="5">
        <v>0</v>
      </c>
      <c r="M19" s="5">
        <v>0</v>
      </c>
      <c r="N19" s="18" t="s">
        <v>26</v>
      </c>
      <c r="O19" s="6" t="s">
        <v>3</v>
      </c>
      <c r="P19" s="6" t="s">
        <v>30</v>
      </c>
      <c r="Q19" s="5">
        <v>3138686229</v>
      </c>
      <c r="R19" s="52" t="s">
        <v>112</v>
      </c>
    </row>
    <row r="20" spans="2:18" ht="51" x14ac:dyDescent="0.2">
      <c r="B20" s="3" t="s">
        <v>80</v>
      </c>
      <c r="C20" s="9" t="s">
        <v>113</v>
      </c>
      <c r="D20" s="5">
        <v>4</v>
      </c>
      <c r="E20" s="5">
        <v>5</v>
      </c>
      <c r="F20" s="5">
        <v>4</v>
      </c>
      <c r="G20" s="5">
        <v>1</v>
      </c>
      <c r="H20" s="6" t="s">
        <v>6</v>
      </c>
      <c r="I20" s="5">
        <v>0</v>
      </c>
      <c r="J20" s="7">
        <v>49724962</v>
      </c>
      <c r="K20" s="7">
        <f t="shared" si="0"/>
        <v>99449924</v>
      </c>
      <c r="L20" s="5">
        <v>0</v>
      </c>
      <c r="M20" s="5">
        <v>0</v>
      </c>
      <c r="N20" s="18" t="s">
        <v>26</v>
      </c>
      <c r="O20" s="6" t="s">
        <v>3</v>
      </c>
      <c r="P20" s="6" t="s">
        <v>30</v>
      </c>
      <c r="Q20" s="5">
        <v>3138686229</v>
      </c>
      <c r="R20" s="52" t="s">
        <v>112</v>
      </c>
    </row>
    <row r="21" spans="2:18" ht="25.5" x14ac:dyDescent="0.2">
      <c r="B21" s="3" t="s">
        <v>80</v>
      </c>
      <c r="C21" s="9" t="s">
        <v>114</v>
      </c>
      <c r="D21" s="5">
        <v>9</v>
      </c>
      <c r="E21" s="5">
        <v>10</v>
      </c>
      <c r="F21" s="5">
        <v>3</v>
      </c>
      <c r="G21" s="5">
        <v>1</v>
      </c>
      <c r="H21" s="6" t="s">
        <v>6</v>
      </c>
      <c r="I21" s="5">
        <v>0</v>
      </c>
      <c r="J21" s="7">
        <f>10000000*F21</f>
        <v>30000000</v>
      </c>
      <c r="K21" s="7">
        <f t="shared" si="0"/>
        <v>30000000</v>
      </c>
      <c r="L21" s="5">
        <v>0</v>
      </c>
      <c r="M21" s="5">
        <v>0</v>
      </c>
      <c r="N21" s="18" t="s">
        <v>26</v>
      </c>
      <c r="O21" s="6" t="s">
        <v>3</v>
      </c>
      <c r="P21" s="6" t="s">
        <v>30</v>
      </c>
      <c r="Q21" s="5">
        <v>3138686229</v>
      </c>
      <c r="R21" s="52" t="s">
        <v>112</v>
      </c>
    </row>
    <row r="22" spans="2:18" ht="25.5" x14ac:dyDescent="0.2">
      <c r="B22" s="3" t="s">
        <v>115</v>
      </c>
      <c r="C22" s="9" t="s">
        <v>116</v>
      </c>
      <c r="D22" s="5">
        <v>4</v>
      </c>
      <c r="E22" s="5">
        <v>5</v>
      </c>
      <c r="F22" s="5">
        <v>2</v>
      </c>
      <c r="G22" s="5">
        <v>1</v>
      </c>
      <c r="H22" s="6" t="s">
        <v>6</v>
      </c>
      <c r="I22" s="5">
        <v>0</v>
      </c>
      <c r="J22" s="7">
        <v>50000000</v>
      </c>
      <c r="K22" s="7">
        <f>J22</f>
        <v>50000000</v>
      </c>
      <c r="L22" s="5">
        <v>0</v>
      </c>
      <c r="M22" s="5">
        <v>0</v>
      </c>
      <c r="N22" s="18" t="s">
        <v>26</v>
      </c>
      <c r="O22" s="6" t="s">
        <v>3</v>
      </c>
      <c r="P22" s="6" t="s">
        <v>30</v>
      </c>
      <c r="Q22" s="5">
        <v>3006589235</v>
      </c>
      <c r="R22" s="52" t="s">
        <v>74</v>
      </c>
    </row>
    <row r="23" spans="2:18" ht="38.25" x14ac:dyDescent="0.2">
      <c r="B23" s="3" t="s">
        <v>117</v>
      </c>
      <c r="C23" s="9" t="s">
        <v>118</v>
      </c>
      <c r="D23" s="5">
        <v>8</v>
      </c>
      <c r="E23" s="5">
        <v>9</v>
      </c>
      <c r="F23" s="5">
        <v>4</v>
      </c>
      <c r="G23" s="5">
        <v>1</v>
      </c>
      <c r="H23" s="6" t="s">
        <v>6</v>
      </c>
      <c r="I23" s="5">
        <v>0</v>
      </c>
      <c r="J23" s="7">
        <v>20000000</v>
      </c>
      <c r="K23" s="7">
        <f>+(J23/F23)*(13-E23)</f>
        <v>20000000</v>
      </c>
      <c r="L23" s="5">
        <v>0</v>
      </c>
      <c r="M23" s="5">
        <v>0</v>
      </c>
      <c r="N23" s="18" t="s">
        <v>26</v>
      </c>
      <c r="O23" s="6" t="s">
        <v>3</v>
      </c>
      <c r="P23" s="6" t="s">
        <v>30</v>
      </c>
      <c r="Q23" s="5">
        <v>3182653800</v>
      </c>
      <c r="R23" s="52" t="s">
        <v>119</v>
      </c>
    </row>
    <row r="24" spans="2:18" ht="25.5" x14ac:dyDescent="0.2">
      <c r="B24" s="3" t="s">
        <v>117</v>
      </c>
      <c r="C24" s="9" t="s">
        <v>120</v>
      </c>
      <c r="D24" s="5">
        <v>2</v>
      </c>
      <c r="E24" s="5">
        <v>3</v>
      </c>
      <c r="F24" s="5">
        <v>4</v>
      </c>
      <c r="G24" s="5">
        <v>1</v>
      </c>
      <c r="H24" s="6" t="s">
        <v>6</v>
      </c>
      <c r="I24" s="5">
        <v>0</v>
      </c>
      <c r="J24" s="7">
        <v>35000000</v>
      </c>
      <c r="K24" s="7">
        <f>+(J24/F24)*(13-E24)</f>
        <v>87500000</v>
      </c>
      <c r="L24" s="5">
        <v>0</v>
      </c>
      <c r="M24" s="5">
        <v>0</v>
      </c>
      <c r="N24" s="18" t="s">
        <v>26</v>
      </c>
      <c r="O24" s="6" t="s">
        <v>3</v>
      </c>
      <c r="P24" s="6" t="s">
        <v>30</v>
      </c>
      <c r="Q24" s="5">
        <v>3182653800</v>
      </c>
      <c r="R24" s="52" t="s">
        <v>119</v>
      </c>
    </row>
    <row r="25" spans="2:18" ht="25.5" x14ac:dyDescent="0.2">
      <c r="B25" s="3" t="s">
        <v>121</v>
      </c>
      <c r="C25" s="9" t="s">
        <v>122</v>
      </c>
      <c r="D25" s="5">
        <v>4</v>
      </c>
      <c r="E25" s="5">
        <v>5</v>
      </c>
      <c r="F25" s="5">
        <v>4</v>
      </c>
      <c r="G25" s="5">
        <v>1</v>
      </c>
      <c r="H25" s="6" t="s">
        <v>6</v>
      </c>
      <c r="I25" s="5">
        <v>0</v>
      </c>
      <c r="J25" s="7">
        <v>72000000</v>
      </c>
      <c r="K25" s="7">
        <f>+(J25/F25)*(13-E25)</f>
        <v>144000000</v>
      </c>
      <c r="L25" s="5">
        <v>0</v>
      </c>
      <c r="M25" s="5">
        <v>0</v>
      </c>
      <c r="N25" s="18" t="s">
        <v>26</v>
      </c>
      <c r="O25" s="6" t="s">
        <v>3</v>
      </c>
      <c r="P25" s="6" t="s">
        <v>30</v>
      </c>
      <c r="Q25" s="5">
        <v>3182653800</v>
      </c>
      <c r="R25" s="52" t="s">
        <v>119</v>
      </c>
    </row>
    <row r="26" spans="2:18" ht="63.75" x14ac:dyDescent="0.2">
      <c r="B26" s="3" t="s">
        <v>123</v>
      </c>
      <c r="C26" s="9" t="s">
        <v>124</v>
      </c>
      <c r="D26" s="5">
        <v>4</v>
      </c>
      <c r="E26" s="5">
        <v>5</v>
      </c>
      <c r="F26" s="5">
        <v>4</v>
      </c>
      <c r="G26" s="5">
        <v>1</v>
      </c>
      <c r="H26" s="6" t="s">
        <v>6</v>
      </c>
      <c r="I26" s="5">
        <v>0</v>
      </c>
      <c r="J26" s="7">
        <f>748735227*4</f>
        <v>2994940908</v>
      </c>
      <c r="K26" s="7">
        <f>+(J26/F26)*(13-E26)</f>
        <v>5989881816</v>
      </c>
      <c r="L26" s="5">
        <v>0</v>
      </c>
      <c r="M26" s="5">
        <v>0</v>
      </c>
      <c r="N26" s="18" t="s">
        <v>26</v>
      </c>
      <c r="O26" s="6" t="s">
        <v>3</v>
      </c>
      <c r="P26" s="6" t="s">
        <v>30</v>
      </c>
      <c r="Q26" s="5">
        <v>3006930361</v>
      </c>
      <c r="R26" s="52" t="s">
        <v>125</v>
      </c>
    </row>
    <row r="27" spans="2:18" ht="25.5" x14ac:dyDescent="0.2">
      <c r="B27" s="3" t="s">
        <v>44</v>
      </c>
      <c r="C27" s="9" t="s">
        <v>45</v>
      </c>
      <c r="D27" s="5">
        <v>1</v>
      </c>
      <c r="E27" s="5">
        <v>2</v>
      </c>
      <c r="F27" s="5">
        <v>2</v>
      </c>
      <c r="G27" s="5">
        <v>1</v>
      </c>
      <c r="H27" s="6" t="s">
        <v>6</v>
      </c>
      <c r="I27" s="5">
        <v>0</v>
      </c>
      <c r="J27" s="7">
        <v>200000000</v>
      </c>
      <c r="K27" s="7">
        <v>200000000</v>
      </c>
      <c r="L27" s="5">
        <v>0</v>
      </c>
      <c r="M27" s="5">
        <v>0</v>
      </c>
      <c r="N27" s="18" t="s">
        <v>26</v>
      </c>
      <c r="O27" s="6" t="s">
        <v>3</v>
      </c>
      <c r="P27" s="6" t="s">
        <v>30</v>
      </c>
      <c r="Q27" s="6" t="s">
        <v>46</v>
      </c>
      <c r="R27" s="53" t="s">
        <v>47</v>
      </c>
    </row>
    <row r="28" spans="2:18" ht="25.5" x14ac:dyDescent="0.2">
      <c r="B28" s="3" t="s">
        <v>126</v>
      </c>
      <c r="C28" s="9" t="s">
        <v>127</v>
      </c>
      <c r="D28" s="5">
        <v>3</v>
      </c>
      <c r="E28" s="5">
        <v>4</v>
      </c>
      <c r="F28" s="5">
        <v>4</v>
      </c>
      <c r="G28" s="5">
        <v>1</v>
      </c>
      <c r="H28" s="6" t="s">
        <v>6</v>
      </c>
      <c r="I28" s="5">
        <v>0</v>
      </c>
      <c r="J28" s="7">
        <f>25000000*F28</f>
        <v>100000000</v>
      </c>
      <c r="K28" s="7">
        <f>+(J28/F28)*(13-E28)</f>
        <v>225000000</v>
      </c>
      <c r="L28" s="5">
        <v>0</v>
      </c>
      <c r="M28" s="5">
        <v>0</v>
      </c>
      <c r="N28" s="18" t="s">
        <v>26</v>
      </c>
      <c r="O28" s="6" t="s">
        <v>3</v>
      </c>
      <c r="P28" s="6" t="s">
        <v>30</v>
      </c>
      <c r="Q28" s="5">
        <v>3182653800</v>
      </c>
      <c r="R28" s="52" t="s">
        <v>119</v>
      </c>
    </row>
    <row r="29" spans="2:18" ht="25.5" x14ac:dyDescent="0.2">
      <c r="B29" s="3" t="s">
        <v>128</v>
      </c>
      <c r="C29" s="9" t="s">
        <v>129</v>
      </c>
      <c r="D29" s="5">
        <v>2</v>
      </c>
      <c r="E29" s="5">
        <v>2</v>
      </c>
      <c r="F29" s="5">
        <v>2</v>
      </c>
      <c r="G29" s="5">
        <v>1</v>
      </c>
      <c r="H29" s="6" t="s">
        <v>6</v>
      </c>
      <c r="I29" s="5">
        <v>0</v>
      </c>
      <c r="J29" s="7">
        <v>4000000</v>
      </c>
      <c r="K29" s="7">
        <v>4000000</v>
      </c>
      <c r="L29" s="5">
        <v>0</v>
      </c>
      <c r="M29" s="5">
        <v>0</v>
      </c>
      <c r="N29" s="18" t="s">
        <v>26</v>
      </c>
      <c r="O29" s="6" t="s">
        <v>3</v>
      </c>
      <c r="P29" s="6" t="s">
        <v>30</v>
      </c>
      <c r="Q29" s="5">
        <v>3182653800</v>
      </c>
      <c r="R29" s="52" t="s">
        <v>119</v>
      </c>
    </row>
    <row r="30" spans="2:18" ht="25.5" x14ac:dyDescent="0.2">
      <c r="B30" s="3" t="s">
        <v>130</v>
      </c>
      <c r="C30" s="9" t="s">
        <v>131</v>
      </c>
      <c r="D30" s="5">
        <v>5</v>
      </c>
      <c r="E30" s="5">
        <v>6</v>
      </c>
      <c r="F30" s="5">
        <v>4</v>
      </c>
      <c r="G30" s="5">
        <v>1</v>
      </c>
      <c r="H30" s="6" t="s">
        <v>6</v>
      </c>
      <c r="I30" s="5">
        <v>0</v>
      </c>
      <c r="J30" s="7">
        <f>93000000*4</f>
        <v>372000000</v>
      </c>
      <c r="K30" s="7">
        <f>+(J30/F30)*(13-E30)</f>
        <v>651000000</v>
      </c>
      <c r="L30" s="5">
        <v>0</v>
      </c>
      <c r="M30" s="5">
        <v>0</v>
      </c>
      <c r="N30" s="18" t="s">
        <v>26</v>
      </c>
      <c r="O30" s="6" t="s">
        <v>3</v>
      </c>
      <c r="P30" s="6" t="s">
        <v>30</v>
      </c>
      <c r="Q30" s="5">
        <v>3182653800</v>
      </c>
      <c r="R30" s="52" t="s">
        <v>119</v>
      </c>
    </row>
    <row r="31" spans="2:18" ht="25.5" x14ac:dyDescent="0.2">
      <c r="B31" s="3" t="s">
        <v>132</v>
      </c>
      <c r="C31" s="9" t="s">
        <v>133</v>
      </c>
      <c r="D31" s="5">
        <v>6</v>
      </c>
      <c r="E31" s="5">
        <v>7</v>
      </c>
      <c r="F31" s="5">
        <v>4</v>
      </c>
      <c r="G31" s="5">
        <v>1</v>
      </c>
      <c r="H31" s="6" t="s">
        <v>6</v>
      </c>
      <c r="I31" s="5">
        <v>0</v>
      </c>
      <c r="J31" s="7">
        <v>160000000</v>
      </c>
      <c r="K31" s="7">
        <f>J31</f>
        <v>160000000</v>
      </c>
      <c r="L31" s="5">
        <v>0</v>
      </c>
      <c r="M31" s="5">
        <v>0</v>
      </c>
      <c r="N31" s="18" t="s">
        <v>26</v>
      </c>
      <c r="O31" s="6" t="s">
        <v>3</v>
      </c>
      <c r="P31" s="6" t="s">
        <v>30</v>
      </c>
      <c r="Q31" s="5">
        <v>3182653800</v>
      </c>
      <c r="R31" s="52" t="s">
        <v>119</v>
      </c>
    </row>
    <row r="32" spans="2:18" ht="38.25" x14ac:dyDescent="0.2">
      <c r="B32" s="3" t="s">
        <v>134</v>
      </c>
      <c r="C32" s="9" t="s">
        <v>135</v>
      </c>
      <c r="D32" s="5">
        <v>6</v>
      </c>
      <c r="E32" s="5">
        <v>7</v>
      </c>
      <c r="F32" s="5">
        <v>5</v>
      </c>
      <c r="G32" s="5">
        <v>1</v>
      </c>
      <c r="H32" s="6" t="s">
        <v>6</v>
      </c>
      <c r="I32" s="5">
        <v>0</v>
      </c>
      <c r="J32" s="7">
        <f>1800000000-768211385</f>
        <v>1031788615</v>
      </c>
      <c r="K32" s="7">
        <f t="shared" ref="K32:K37" si="1">+(J32/F32)*(13-E32)</f>
        <v>1238146338</v>
      </c>
      <c r="L32" s="5">
        <v>0</v>
      </c>
      <c r="M32" s="5">
        <v>0</v>
      </c>
      <c r="N32" s="18" t="s">
        <v>26</v>
      </c>
      <c r="O32" s="6" t="s">
        <v>3</v>
      </c>
      <c r="P32" s="6" t="s">
        <v>30</v>
      </c>
      <c r="Q32" s="5">
        <v>3208500508</v>
      </c>
      <c r="R32" s="52" t="s">
        <v>136</v>
      </c>
    </row>
    <row r="33" spans="2:18" ht="25.5" x14ac:dyDescent="0.2">
      <c r="B33" s="3" t="s">
        <v>137</v>
      </c>
      <c r="C33" s="4" t="s">
        <v>29</v>
      </c>
      <c r="D33" s="5">
        <v>1</v>
      </c>
      <c r="E33" s="5">
        <v>1</v>
      </c>
      <c r="F33" s="5">
        <v>1</v>
      </c>
      <c r="G33" s="5">
        <v>1</v>
      </c>
      <c r="H33" s="6" t="s">
        <v>6</v>
      </c>
      <c r="I33" s="5">
        <v>0</v>
      </c>
      <c r="J33" s="7">
        <v>60000000</v>
      </c>
      <c r="K33" s="7">
        <f t="shared" si="1"/>
        <v>720000000</v>
      </c>
      <c r="L33" s="5">
        <v>0</v>
      </c>
      <c r="M33" s="5">
        <v>0</v>
      </c>
      <c r="N33" s="18" t="s">
        <v>26</v>
      </c>
      <c r="O33" s="6" t="s">
        <v>3</v>
      </c>
      <c r="P33" s="6" t="s">
        <v>30</v>
      </c>
      <c r="Q33" s="5">
        <v>3108734212</v>
      </c>
      <c r="R33" s="52" t="s">
        <v>31</v>
      </c>
    </row>
    <row r="34" spans="2:18" ht="38.25" x14ac:dyDescent="0.2">
      <c r="B34" s="65" t="s">
        <v>138</v>
      </c>
      <c r="C34" s="13" t="s">
        <v>36</v>
      </c>
      <c r="D34" s="14">
        <v>1</v>
      </c>
      <c r="E34" s="14">
        <v>2</v>
      </c>
      <c r="F34" s="5">
        <v>3</v>
      </c>
      <c r="G34" s="14">
        <v>1</v>
      </c>
      <c r="H34" s="6" t="s">
        <v>6</v>
      </c>
      <c r="I34" s="5">
        <v>0</v>
      </c>
      <c r="J34" s="7">
        <f>17650794*3</f>
        <v>52952382</v>
      </c>
      <c r="K34" s="7">
        <f t="shared" si="1"/>
        <v>194158734</v>
      </c>
      <c r="L34" s="14">
        <v>0</v>
      </c>
      <c r="M34" s="14">
        <v>0</v>
      </c>
      <c r="N34" s="18" t="s">
        <v>26</v>
      </c>
      <c r="O34" s="6" t="s">
        <v>3</v>
      </c>
      <c r="P34" s="15" t="s">
        <v>30</v>
      </c>
      <c r="Q34" s="14" t="s">
        <v>89</v>
      </c>
      <c r="R34" s="54" t="s">
        <v>37</v>
      </c>
    </row>
    <row r="35" spans="2:18" x14ac:dyDescent="0.2">
      <c r="B35" s="65" t="s">
        <v>139</v>
      </c>
      <c r="C35" s="13" t="s">
        <v>140</v>
      </c>
      <c r="D35" s="14">
        <v>2</v>
      </c>
      <c r="E35" s="14">
        <v>2</v>
      </c>
      <c r="F35" s="5">
        <v>2</v>
      </c>
      <c r="G35" s="14">
        <v>1</v>
      </c>
      <c r="H35" s="6" t="s">
        <v>6</v>
      </c>
      <c r="I35" s="5">
        <v>0</v>
      </c>
      <c r="J35" s="7">
        <f>95000000*2</f>
        <v>190000000</v>
      </c>
      <c r="K35" s="7">
        <f t="shared" si="1"/>
        <v>1045000000</v>
      </c>
      <c r="L35" s="16"/>
      <c r="M35" s="14"/>
      <c r="N35" s="18"/>
      <c r="O35" s="6"/>
      <c r="P35" s="15"/>
      <c r="Q35" s="14"/>
      <c r="R35" s="54"/>
    </row>
    <row r="36" spans="2:18" x14ac:dyDescent="0.2">
      <c r="B36" s="65"/>
      <c r="C36" s="13" t="s">
        <v>141</v>
      </c>
      <c r="D36" s="14">
        <v>2</v>
      </c>
      <c r="E36" s="14">
        <v>2</v>
      </c>
      <c r="F36" s="5">
        <v>2</v>
      </c>
      <c r="G36" s="14">
        <v>1</v>
      </c>
      <c r="H36" s="6" t="s">
        <v>6</v>
      </c>
      <c r="I36" s="5">
        <v>0</v>
      </c>
      <c r="J36" s="7">
        <f>99000000*2</f>
        <v>198000000</v>
      </c>
      <c r="K36" s="7">
        <f t="shared" si="1"/>
        <v>1089000000</v>
      </c>
      <c r="L36" s="16"/>
      <c r="M36" s="14"/>
      <c r="N36" s="18"/>
      <c r="O36" s="6"/>
      <c r="P36" s="15"/>
      <c r="Q36" s="14"/>
      <c r="R36" s="54"/>
    </row>
    <row r="37" spans="2:18" ht="25.5" x14ac:dyDescent="0.2">
      <c r="B37" s="3" t="s">
        <v>139</v>
      </c>
      <c r="C37" s="4" t="s">
        <v>142</v>
      </c>
      <c r="D37" s="5">
        <v>3</v>
      </c>
      <c r="E37" s="5">
        <v>4</v>
      </c>
      <c r="F37" s="5">
        <v>2</v>
      </c>
      <c r="G37" s="5">
        <v>1</v>
      </c>
      <c r="H37" s="6" t="s">
        <v>6</v>
      </c>
      <c r="I37" s="5">
        <v>0</v>
      </c>
      <c r="J37" s="7">
        <f>607000000*2</f>
        <v>1214000000</v>
      </c>
      <c r="K37" s="7">
        <f t="shared" si="1"/>
        <v>5463000000</v>
      </c>
      <c r="L37" s="17">
        <v>0</v>
      </c>
      <c r="M37" s="5">
        <v>0</v>
      </c>
      <c r="N37" s="18" t="s">
        <v>26</v>
      </c>
      <c r="O37" s="6" t="s">
        <v>3</v>
      </c>
      <c r="P37" s="6" t="s">
        <v>30</v>
      </c>
      <c r="Q37" s="5">
        <v>3108734212</v>
      </c>
      <c r="R37" s="52" t="s">
        <v>31</v>
      </c>
    </row>
    <row r="38" spans="2:18" ht="25.5" x14ac:dyDescent="0.2">
      <c r="B38" s="3" t="s">
        <v>143</v>
      </c>
      <c r="C38" s="4" t="s">
        <v>144</v>
      </c>
      <c r="D38" s="5">
        <v>3</v>
      </c>
      <c r="E38" s="5">
        <v>4</v>
      </c>
      <c r="F38" s="5">
        <v>3</v>
      </c>
      <c r="G38" s="5">
        <v>1</v>
      </c>
      <c r="H38" s="6" t="s">
        <v>6</v>
      </c>
      <c r="I38" s="5">
        <v>0</v>
      </c>
      <c r="J38" s="7">
        <v>90000000</v>
      </c>
      <c r="K38" s="7">
        <f>J38</f>
        <v>90000000</v>
      </c>
      <c r="L38" s="5">
        <v>0</v>
      </c>
      <c r="M38" s="5">
        <v>0</v>
      </c>
      <c r="N38" s="18" t="s">
        <v>26</v>
      </c>
      <c r="O38" s="6" t="s">
        <v>3</v>
      </c>
      <c r="P38" s="6" t="s">
        <v>30</v>
      </c>
      <c r="Q38" s="5">
        <v>3208500508</v>
      </c>
      <c r="R38" s="52" t="s">
        <v>145</v>
      </c>
    </row>
    <row r="39" spans="2:18" ht="25.5" x14ac:dyDescent="0.2">
      <c r="B39" s="3" t="s">
        <v>143</v>
      </c>
      <c r="C39" s="4" t="s">
        <v>146</v>
      </c>
      <c r="D39" s="5">
        <v>2</v>
      </c>
      <c r="E39" s="5">
        <v>3</v>
      </c>
      <c r="F39" s="5">
        <v>3</v>
      </c>
      <c r="G39" s="5">
        <v>1</v>
      </c>
      <c r="H39" s="6" t="s">
        <v>6</v>
      </c>
      <c r="I39" s="5">
        <v>0</v>
      </c>
      <c r="J39" s="7">
        <v>144620000</v>
      </c>
      <c r="K39" s="7">
        <f>J39</f>
        <v>144620000</v>
      </c>
      <c r="L39" s="5">
        <v>0</v>
      </c>
      <c r="M39" s="5">
        <v>0</v>
      </c>
      <c r="N39" s="18" t="s">
        <v>26</v>
      </c>
      <c r="O39" s="6" t="s">
        <v>3</v>
      </c>
      <c r="P39" s="6" t="s">
        <v>30</v>
      </c>
      <c r="Q39" s="5">
        <v>3208500508</v>
      </c>
      <c r="R39" s="52" t="s">
        <v>145</v>
      </c>
    </row>
    <row r="40" spans="2:18" ht="25.5" x14ac:dyDescent="0.2">
      <c r="B40" s="3" t="s">
        <v>143</v>
      </c>
      <c r="C40" s="4" t="s">
        <v>147</v>
      </c>
      <c r="D40" s="5">
        <v>4</v>
      </c>
      <c r="E40" s="5">
        <v>5</v>
      </c>
      <c r="F40" s="5">
        <v>3</v>
      </c>
      <c r="G40" s="5">
        <v>1</v>
      </c>
      <c r="H40" s="6" t="s">
        <v>6</v>
      </c>
      <c r="I40" s="5">
        <v>0</v>
      </c>
      <c r="J40" s="7">
        <v>120000000</v>
      </c>
      <c r="K40" s="7">
        <f>J40</f>
        <v>120000000</v>
      </c>
      <c r="L40" s="5">
        <v>0</v>
      </c>
      <c r="M40" s="5">
        <v>0</v>
      </c>
      <c r="N40" s="18" t="s">
        <v>26</v>
      </c>
      <c r="O40" s="6" t="s">
        <v>3</v>
      </c>
      <c r="P40" s="6" t="s">
        <v>30</v>
      </c>
      <c r="Q40" s="5">
        <v>3208500508</v>
      </c>
      <c r="R40" s="52" t="s">
        <v>145</v>
      </c>
    </row>
    <row r="41" spans="2:18" ht="25.5" x14ac:dyDescent="0.2">
      <c r="B41" s="3" t="s">
        <v>148</v>
      </c>
      <c r="C41" s="9" t="s">
        <v>149</v>
      </c>
      <c r="D41" s="5">
        <v>2</v>
      </c>
      <c r="E41" s="5">
        <v>3</v>
      </c>
      <c r="F41" s="5">
        <v>2</v>
      </c>
      <c r="G41" s="5">
        <v>1</v>
      </c>
      <c r="H41" s="6" t="s">
        <v>6</v>
      </c>
      <c r="I41" s="5">
        <v>0</v>
      </c>
      <c r="J41" s="7">
        <v>150000000</v>
      </c>
      <c r="K41" s="7">
        <f>J41</f>
        <v>150000000</v>
      </c>
      <c r="L41" s="5">
        <v>0</v>
      </c>
      <c r="M41" s="5">
        <v>0</v>
      </c>
      <c r="N41" s="18" t="s">
        <v>26</v>
      </c>
      <c r="O41" s="6" t="s">
        <v>3</v>
      </c>
      <c r="P41" s="6" t="s">
        <v>30</v>
      </c>
      <c r="Q41" s="5">
        <v>3208500508</v>
      </c>
      <c r="R41" s="52" t="s">
        <v>145</v>
      </c>
    </row>
    <row r="42" spans="2:18" ht="51" x14ac:dyDescent="0.2">
      <c r="B42" s="3" t="s">
        <v>75</v>
      </c>
      <c r="C42" s="4" t="s">
        <v>150</v>
      </c>
      <c r="D42" s="5">
        <v>6</v>
      </c>
      <c r="E42" s="5">
        <v>7</v>
      </c>
      <c r="F42" s="5">
        <v>3</v>
      </c>
      <c r="G42" s="6" t="s">
        <v>9</v>
      </c>
      <c r="H42" s="6" t="s">
        <v>6</v>
      </c>
      <c r="I42" s="6" t="s">
        <v>8</v>
      </c>
      <c r="J42" s="7">
        <f>40000000*F42</f>
        <v>120000000</v>
      </c>
      <c r="K42" s="7">
        <f t="shared" ref="K42:K50" si="2">+(J42/F42)*(13-E42)</f>
        <v>240000000</v>
      </c>
      <c r="L42" s="6">
        <v>0</v>
      </c>
      <c r="M42" s="6">
        <v>0</v>
      </c>
      <c r="N42" s="18" t="s">
        <v>26</v>
      </c>
      <c r="O42" s="6" t="s">
        <v>3</v>
      </c>
      <c r="P42" s="6" t="s">
        <v>30</v>
      </c>
      <c r="Q42" s="6" t="s">
        <v>151</v>
      </c>
      <c r="R42" s="53" t="s">
        <v>152</v>
      </c>
    </row>
    <row r="43" spans="2:18" ht="25.5" x14ac:dyDescent="0.2">
      <c r="B43" s="3" t="s">
        <v>153</v>
      </c>
      <c r="C43" s="4" t="s">
        <v>154</v>
      </c>
      <c r="D43" s="5">
        <v>7</v>
      </c>
      <c r="E43" s="5">
        <v>8</v>
      </c>
      <c r="F43" s="5">
        <v>4</v>
      </c>
      <c r="G43" s="6" t="s">
        <v>9</v>
      </c>
      <c r="H43" s="6" t="s">
        <v>6</v>
      </c>
      <c r="I43" s="6" t="s">
        <v>8</v>
      </c>
      <c r="J43" s="7">
        <f>8000000*F43</f>
        <v>32000000</v>
      </c>
      <c r="K43" s="7">
        <f t="shared" si="2"/>
        <v>40000000</v>
      </c>
      <c r="L43" s="6">
        <v>0</v>
      </c>
      <c r="M43" s="6">
        <v>0</v>
      </c>
      <c r="N43" s="6" t="s">
        <v>26</v>
      </c>
      <c r="O43" s="6" t="s">
        <v>3</v>
      </c>
      <c r="P43" s="6" t="s">
        <v>30</v>
      </c>
      <c r="Q43" s="6" t="s">
        <v>151</v>
      </c>
      <c r="R43" s="53" t="s">
        <v>152</v>
      </c>
    </row>
    <row r="44" spans="2:18" ht="25.5" x14ac:dyDescent="0.2">
      <c r="B44" s="3" t="s">
        <v>155</v>
      </c>
      <c r="C44" s="4" t="s">
        <v>156</v>
      </c>
      <c r="D44" s="5">
        <v>6</v>
      </c>
      <c r="E44" s="5">
        <v>7</v>
      </c>
      <c r="F44" s="5">
        <v>4</v>
      </c>
      <c r="G44" s="6" t="s">
        <v>9</v>
      </c>
      <c r="H44" s="6" t="s">
        <v>6</v>
      </c>
      <c r="I44" s="6" t="s">
        <v>8</v>
      </c>
      <c r="J44" s="7">
        <v>20000000</v>
      </c>
      <c r="K44" s="7">
        <f t="shared" si="2"/>
        <v>30000000</v>
      </c>
      <c r="L44" s="6">
        <v>0</v>
      </c>
      <c r="M44" s="6">
        <v>0</v>
      </c>
      <c r="N44" s="6" t="s">
        <v>26</v>
      </c>
      <c r="O44" s="6" t="s">
        <v>3</v>
      </c>
      <c r="P44" s="6" t="s">
        <v>30</v>
      </c>
      <c r="Q44" s="6" t="s">
        <v>151</v>
      </c>
      <c r="R44" s="53" t="s">
        <v>152</v>
      </c>
    </row>
    <row r="45" spans="2:18" ht="25.5" x14ac:dyDescent="0.2">
      <c r="B45" s="3" t="s">
        <v>157</v>
      </c>
      <c r="C45" s="4" t="s">
        <v>158</v>
      </c>
      <c r="D45" s="5">
        <v>5</v>
      </c>
      <c r="E45" s="5">
        <v>6</v>
      </c>
      <c r="F45" s="5">
        <v>4</v>
      </c>
      <c r="G45" s="6" t="s">
        <v>9</v>
      </c>
      <c r="H45" s="6" t="s">
        <v>6</v>
      </c>
      <c r="I45" s="6" t="s">
        <v>8</v>
      </c>
      <c r="J45" s="7">
        <v>320000000</v>
      </c>
      <c r="K45" s="7">
        <f t="shared" si="2"/>
        <v>560000000</v>
      </c>
      <c r="L45" s="6">
        <v>0</v>
      </c>
      <c r="M45" s="6">
        <v>0</v>
      </c>
      <c r="N45" s="6" t="s">
        <v>26</v>
      </c>
      <c r="O45" s="6" t="s">
        <v>3</v>
      </c>
      <c r="P45" s="6" t="s">
        <v>30</v>
      </c>
      <c r="Q45" s="6" t="s">
        <v>151</v>
      </c>
      <c r="R45" s="53" t="s">
        <v>152</v>
      </c>
    </row>
    <row r="46" spans="2:18" ht="89.25" x14ac:dyDescent="0.2">
      <c r="B46" s="3" t="s">
        <v>159</v>
      </c>
      <c r="C46" s="4" t="s">
        <v>160</v>
      </c>
      <c r="D46" s="5">
        <v>1</v>
      </c>
      <c r="E46" s="5">
        <v>2</v>
      </c>
      <c r="F46" s="5">
        <v>4</v>
      </c>
      <c r="G46" s="6" t="s">
        <v>9</v>
      </c>
      <c r="H46" s="6" t="s">
        <v>6</v>
      </c>
      <c r="I46" s="6" t="s">
        <v>8</v>
      </c>
      <c r="J46" s="7">
        <f>150000000*4</f>
        <v>600000000</v>
      </c>
      <c r="K46" s="7">
        <f t="shared" si="2"/>
        <v>1650000000</v>
      </c>
      <c r="L46" s="6">
        <v>0</v>
      </c>
      <c r="M46" s="6">
        <v>0</v>
      </c>
      <c r="N46" s="6" t="s">
        <v>26</v>
      </c>
      <c r="O46" s="6" t="s">
        <v>3</v>
      </c>
      <c r="P46" s="6" t="s">
        <v>30</v>
      </c>
      <c r="Q46" s="6" t="s">
        <v>151</v>
      </c>
      <c r="R46" s="53" t="s">
        <v>152</v>
      </c>
    </row>
    <row r="47" spans="2:18" ht="25.5" x14ac:dyDescent="0.2">
      <c r="B47" s="3" t="s">
        <v>161</v>
      </c>
      <c r="C47" s="4" t="s">
        <v>162</v>
      </c>
      <c r="D47" s="5">
        <v>3</v>
      </c>
      <c r="E47" s="5">
        <v>4</v>
      </c>
      <c r="F47" s="5">
        <v>3</v>
      </c>
      <c r="G47" s="6" t="s">
        <v>9</v>
      </c>
      <c r="H47" s="6" t="s">
        <v>6</v>
      </c>
      <c r="I47" s="6" t="s">
        <v>8</v>
      </c>
      <c r="J47" s="7">
        <f>3500000*F47</f>
        <v>10500000</v>
      </c>
      <c r="K47" s="7">
        <f t="shared" si="2"/>
        <v>31500000</v>
      </c>
      <c r="L47" s="6">
        <v>0</v>
      </c>
      <c r="M47" s="6">
        <v>0</v>
      </c>
      <c r="N47" s="6" t="s">
        <v>26</v>
      </c>
      <c r="O47" s="6" t="s">
        <v>3</v>
      </c>
      <c r="P47" s="6" t="s">
        <v>30</v>
      </c>
      <c r="Q47" s="6" t="s">
        <v>151</v>
      </c>
      <c r="R47" s="53" t="s">
        <v>152</v>
      </c>
    </row>
    <row r="48" spans="2:18" ht="25.5" x14ac:dyDescent="0.2">
      <c r="B48" s="3" t="s">
        <v>163</v>
      </c>
      <c r="C48" s="4" t="s">
        <v>164</v>
      </c>
      <c r="D48" s="5">
        <v>8</v>
      </c>
      <c r="E48" s="5">
        <v>9</v>
      </c>
      <c r="F48" s="5">
        <v>3</v>
      </c>
      <c r="G48" s="5" t="s">
        <v>9</v>
      </c>
      <c r="H48" s="6" t="s">
        <v>6</v>
      </c>
      <c r="I48" s="6" t="s">
        <v>8</v>
      </c>
      <c r="J48" s="7">
        <v>249000000</v>
      </c>
      <c r="K48" s="7">
        <f t="shared" si="2"/>
        <v>332000000</v>
      </c>
      <c r="L48" s="6" t="s">
        <v>8</v>
      </c>
      <c r="M48" s="6">
        <v>0</v>
      </c>
      <c r="N48" s="6" t="s">
        <v>26</v>
      </c>
      <c r="O48" s="6" t="s">
        <v>3</v>
      </c>
      <c r="P48" s="6" t="s">
        <v>30</v>
      </c>
      <c r="Q48" s="6" t="s">
        <v>50</v>
      </c>
      <c r="R48" s="53" t="s">
        <v>51</v>
      </c>
    </row>
    <row r="49" spans="2:18" ht="25.5" x14ac:dyDescent="0.2">
      <c r="B49" s="3" t="s">
        <v>165</v>
      </c>
      <c r="C49" s="4" t="s">
        <v>166</v>
      </c>
      <c r="D49" s="5">
        <v>1</v>
      </c>
      <c r="E49" s="5">
        <v>1</v>
      </c>
      <c r="F49" s="5" t="s">
        <v>34</v>
      </c>
      <c r="G49" s="5" t="s">
        <v>9</v>
      </c>
      <c r="H49" s="6" t="s">
        <v>6</v>
      </c>
      <c r="I49" s="6" t="s">
        <v>8</v>
      </c>
      <c r="J49" s="7">
        <f>2000000*F49</f>
        <v>6000000</v>
      </c>
      <c r="K49" s="7">
        <f t="shared" si="2"/>
        <v>24000000</v>
      </c>
      <c r="L49" s="6">
        <v>0</v>
      </c>
      <c r="M49" s="6">
        <v>0</v>
      </c>
      <c r="N49" s="6" t="s">
        <v>26</v>
      </c>
      <c r="O49" s="6" t="s">
        <v>3</v>
      </c>
      <c r="P49" s="6" t="s">
        <v>30</v>
      </c>
      <c r="Q49" s="6" t="s">
        <v>50</v>
      </c>
      <c r="R49" s="53" t="s">
        <v>51</v>
      </c>
    </row>
    <row r="50" spans="2:18" ht="25.5" x14ac:dyDescent="0.2">
      <c r="B50" s="3" t="s">
        <v>167</v>
      </c>
      <c r="C50" s="4" t="s">
        <v>168</v>
      </c>
      <c r="D50" s="5" t="s">
        <v>169</v>
      </c>
      <c r="E50" s="5" t="s">
        <v>170</v>
      </c>
      <c r="F50" s="5" t="s">
        <v>34</v>
      </c>
      <c r="G50" s="5" t="s">
        <v>9</v>
      </c>
      <c r="H50" s="6" t="s">
        <v>6</v>
      </c>
      <c r="I50" s="6" t="s">
        <v>8</v>
      </c>
      <c r="J50" s="7">
        <v>25000000</v>
      </c>
      <c r="K50" s="7">
        <f t="shared" si="2"/>
        <v>33333333.333333332</v>
      </c>
      <c r="L50" s="6">
        <v>0</v>
      </c>
      <c r="M50" s="6">
        <v>0</v>
      </c>
      <c r="N50" s="6" t="s">
        <v>26</v>
      </c>
      <c r="O50" s="6" t="s">
        <v>3</v>
      </c>
      <c r="P50" s="6" t="s">
        <v>30</v>
      </c>
      <c r="Q50" s="6" t="s">
        <v>50</v>
      </c>
      <c r="R50" s="53" t="s">
        <v>51</v>
      </c>
    </row>
    <row r="51" spans="2:18" ht="25.5" x14ac:dyDescent="0.2">
      <c r="B51" s="3" t="s">
        <v>48</v>
      </c>
      <c r="C51" s="4" t="s">
        <v>49</v>
      </c>
      <c r="D51" s="5">
        <v>1</v>
      </c>
      <c r="E51" s="5">
        <v>1</v>
      </c>
      <c r="F51" s="5">
        <v>3</v>
      </c>
      <c r="G51" s="5" t="s">
        <v>9</v>
      </c>
      <c r="H51" s="6" t="s">
        <v>6</v>
      </c>
      <c r="I51" s="6" t="s">
        <v>8</v>
      </c>
      <c r="J51" s="7">
        <v>126000000</v>
      </c>
      <c r="K51" s="7">
        <f>J51</f>
        <v>126000000</v>
      </c>
      <c r="L51" s="6">
        <v>0</v>
      </c>
      <c r="M51" s="6">
        <v>0</v>
      </c>
      <c r="N51" s="6" t="s">
        <v>26</v>
      </c>
      <c r="O51" s="6" t="s">
        <v>3</v>
      </c>
      <c r="P51" s="6" t="s">
        <v>30</v>
      </c>
      <c r="Q51" s="6" t="s">
        <v>50</v>
      </c>
      <c r="R51" s="53" t="s">
        <v>51</v>
      </c>
    </row>
    <row r="52" spans="2:18" ht="25.5" x14ac:dyDescent="0.2">
      <c r="B52" s="3" t="s">
        <v>171</v>
      </c>
      <c r="C52" s="4" t="s">
        <v>172</v>
      </c>
      <c r="D52" s="5">
        <v>6</v>
      </c>
      <c r="E52" s="5">
        <v>7</v>
      </c>
      <c r="F52" s="5">
        <v>4</v>
      </c>
      <c r="G52" s="5" t="s">
        <v>9</v>
      </c>
      <c r="H52" s="6" t="s">
        <v>6</v>
      </c>
      <c r="I52" s="6" t="s">
        <v>8</v>
      </c>
      <c r="J52" s="7">
        <v>32000000</v>
      </c>
      <c r="K52" s="7">
        <f>+(J52/F52)*(13-E52)</f>
        <v>48000000</v>
      </c>
      <c r="L52" s="6">
        <v>0</v>
      </c>
      <c r="M52" s="6">
        <v>0</v>
      </c>
      <c r="N52" s="6" t="s">
        <v>26</v>
      </c>
      <c r="O52" s="6" t="s">
        <v>3</v>
      </c>
      <c r="P52" s="6" t="s">
        <v>30</v>
      </c>
      <c r="Q52" s="6" t="s">
        <v>50</v>
      </c>
      <c r="R52" s="53" t="s">
        <v>51</v>
      </c>
    </row>
    <row r="53" spans="2:18" ht="25.5" x14ac:dyDescent="0.2">
      <c r="B53" s="3" t="s">
        <v>173</v>
      </c>
      <c r="C53" s="4" t="s">
        <v>174</v>
      </c>
      <c r="D53" s="5">
        <v>9</v>
      </c>
      <c r="E53" s="5">
        <v>10</v>
      </c>
      <c r="F53" s="5">
        <v>3</v>
      </c>
      <c r="G53" s="5" t="s">
        <v>9</v>
      </c>
      <c r="H53" s="6" t="s">
        <v>6</v>
      </c>
      <c r="I53" s="6" t="s">
        <v>8</v>
      </c>
      <c r="J53" s="7">
        <v>52000000</v>
      </c>
      <c r="K53" s="7">
        <f>J53</f>
        <v>52000000</v>
      </c>
      <c r="L53" s="6">
        <v>0</v>
      </c>
      <c r="M53" s="6">
        <v>0</v>
      </c>
      <c r="N53" s="6" t="s">
        <v>26</v>
      </c>
      <c r="O53" s="6" t="s">
        <v>3</v>
      </c>
      <c r="P53" s="6" t="s">
        <v>30</v>
      </c>
      <c r="Q53" s="6" t="s">
        <v>50</v>
      </c>
      <c r="R53" s="53" t="s">
        <v>51</v>
      </c>
    </row>
    <row r="54" spans="2:18" ht="38.25" x14ac:dyDescent="0.2">
      <c r="B54" s="3" t="s">
        <v>175</v>
      </c>
      <c r="C54" s="4" t="s">
        <v>176</v>
      </c>
      <c r="D54" s="5">
        <v>4</v>
      </c>
      <c r="E54" s="5">
        <v>5</v>
      </c>
      <c r="F54" s="5">
        <v>6</v>
      </c>
      <c r="G54" s="5" t="s">
        <v>9</v>
      </c>
      <c r="H54" s="6" t="s">
        <v>6</v>
      </c>
      <c r="I54" s="6" t="s">
        <v>8</v>
      </c>
      <c r="J54" s="7">
        <v>15300000</v>
      </c>
      <c r="K54" s="7">
        <f>+(J54/F54)*(13-E54)</f>
        <v>20400000</v>
      </c>
      <c r="L54" s="6">
        <v>0</v>
      </c>
      <c r="M54" s="6">
        <v>0</v>
      </c>
      <c r="N54" s="6" t="s">
        <v>26</v>
      </c>
      <c r="O54" s="6" t="s">
        <v>3</v>
      </c>
      <c r="P54" s="6" t="s">
        <v>30</v>
      </c>
      <c r="Q54" s="6" t="s">
        <v>50</v>
      </c>
      <c r="R54" s="53" t="s">
        <v>51</v>
      </c>
    </row>
    <row r="55" spans="2:18" ht="25.5" x14ac:dyDescent="0.2">
      <c r="B55" s="3" t="s">
        <v>177</v>
      </c>
      <c r="C55" s="4" t="s">
        <v>178</v>
      </c>
      <c r="D55" s="5">
        <v>3</v>
      </c>
      <c r="E55" s="5">
        <v>4</v>
      </c>
      <c r="F55" s="5" t="s">
        <v>9</v>
      </c>
      <c r="G55" s="5" t="s">
        <v>9</v>
      </c>
      <c r="H55" s="6" t="s">
        <v>6</v>
      </c>
      <c r="I55" s="6" t="s">
        <v>8</v>
      </c>
      <c r="J55" s="7">
        <v>8000000</v>
      </c>
      <c r="K55" s="7">
        <f>J55</f>
        <v>8000000</v>
      </c>
      <c r="L55" s="6">
        <v>0</v>
      </c>
      <c r="M55" s="6">
        <v>0</v>
      </c>
      <c r="N55" s="6" t="s">
        <v>26</v>
      </c>
      <c r="O55" s="6" t="s">
        <v>3</v>
      </c>
      <c r="P55" s="6" t="s">
        <v>30</v>
      </c>
      <c r="Q55" s="6" t="s">
        <v>50</v>
      </c>
      <c r="R55" s="53" t="s">
        <v>51</v>
      </c>
    </row>
    <row r="56" spans="2:18" ht="25.5" x14ac:dyDescent="0.2">
      <c r="B56" s="3" t="s">
        <v>179</v>
      </c>
      <c r="C56" s="13" t="s">
        <v>180</v>
      </c>
      <c r="D56" s="14">
        <v>5</v>
      </c>
      <c r="E56" s="14">
        <v>6</v>
      </c>
      <c r="F56" s="5">
        <v>4</v>
      </c>
      <c r="G56" s="14">
        <v>1</v>
      </c>
      <c r="H56" s="6" t="s">
        <v>6</v>
      </c>
      <c r="I56" s="15" t="s">
        <v>8</v>
      </c>
      <c r="J56" s="7">
        <v>1040000000</v>
      </c>
      <c r="K56" s="7">
        <v>1040000000</v>
      </c>
      <c r="L56" s="15" t="s">
        <v>8</v>
      </c>
      <c r="M56" s="15" t="s">
        <v>8</v>
      </c>
      <c r="N56" s="15" t="s">
        <v>26</v>
      </c>
      <c r="O56" s="6" t="s">
        <v>3</v>
      </c>
      <c r="P56" s="15" t="s">
        <v>30</v>
      </c>
      <c r="Q56" s="15" t="s">
        <v>73</v>
      </c>
      <c r="R56" s="54" t="s">
        <v>119</v>
      </c>
    </row>
    <row r="57" spans="2:18" ht="38.25" x14ac:dyDescent="0.2">
      <c r="B57" s="3" t="s">
        <v>181</v>
      </c>
      <c r="C57" s="4" t="s">
        <v>182</v>
      </c>
      <c r="D57" s="18">
        <v>6</v>
      </c>
      <c r="E57" s="18">
        <v>7</v>
      </c>
      <c r="F57" s="5">
        <v>3</v>
      </c>
      <c r="G57" s="5">
        <v>1</v>
      </c>
      <c r="H57" s="6" t="s">
        <v>6</v>
      </c>
      <c r="I57" s="5">
        <v>0</v>
      </c>
      <c r="J57" s="7">
        <v>40000000</v>
      </c>
      <c r="K57" s="7">
        <v>40000000</v>
      </c>
      <c r="L57" s="5">
        <v>0</v>
      </c>
      <c r="M57" s="5">
        <v>0</v>
      </c>
      <c r="N57" s="18" t="s">
        <v>26</v>
      </c>
      <c r="O57" s="6" t="s">
        <v>3</v>
      </c>
      <c r="P57" s="6" t="s">
        <v>30</v>
      </c>
      <c r="Q57" s="5">
        <v>3182653800</v>
      </c>
      <c r="R57" s="52" t="s">
        <v>145</v>
      </c>
    </row>
    <row r="58" spans="2:18" ht="38.25" x14ac:dyDescent="0.2">
      <c r="B58" s="3" t="s">
        <v>183</v>
      </c>
      <c r="C58" s="4" t="s">
        <v>184</v>
      </c>
      <c r="D58" s="5" t="s">
        <v>170</v>
      </c>
      <c r="E58" s="5" t="s">
        <v>185</v>
      </c>
      <c r="F58" s="5">
        <v>3</v>
      </c>
      <c r="G58" s="5" t="s">
        <v>9</v>
      </c>
      <c r="H58" s="6" t="s">
        <v>6</v>
      </c>
      <c r="I58" s="6" t="s">
        <v>8</v>
      </c>
      <c r="J58" s="7">
        <f>5500000*3</f>
        <v>16500000</v>
      </c>
      <c r="K58" s="7">
        <f>+(J58/F58)*(13-E58)</f>
        <v>16500000</v>
      </c>
      <c r="L58" s="6">
        <v>0</v>
      </c>
      <c r="M58" s="6">
        <v>0</v>
      </c>
      <c r="N58" s="6" t="s">
        <v>26</v>
      </c>
      <c r="O58" s="6" t="s">
        <v>3</v>
      </c>
      <c r="P58" s="6" t="s">
        <v>30</v>
      </c>
      <c r="Q58" s="6" t="s">
        <v>46</v>
      </c>
      <c r="R58" s="53" t="s">
        <v>47</v>
      </c>
    </row>
    <row r="59" spans="2:18" ht="25.5" x14ac:dyDescent="0.2">
      <c r="B59" s="3" t="s">
        <v>52</v>
      </c>
      <c r="C59" s="4" t="s">
        <v>53</v>
      </c>
      <c r="D59" s="5" t="s">
        <v>9</v>
      </c>
      <c r="E59" s="5" t="s">
        <v>9</v>
      </c>
      <c r="F59" s="5" t="s">
        <v>25</v>
      </c>
      <c r="G59" s="5" t="s">
        <v>9</v>
      </c>
      <c r="H59" s="6" t="s">
        <v>6</v>
      </c>
      <c r="I59" s="6" t="s">
        <v>8</v>
      </c>
      <c r="J59" s="7">
        <v>61000000</v>
      </c>
      <c r="K59" s="7">
        <f>+(J59/F59)*(13-E59)</f>
        <v>183000000</v>
      </c>
      <c r="L59" s="6">
        <v>0</v>
      </c>
      <c r="M59" s="6">
        <v>0</v>
      </c>
      <c r="N59" s="6" t="s">
        <v>26</v>
      </c>
      <c r="O59" s="6" t="s">
        <v>3</v>
      </c>
      <c r="P59" s="6" t="s">
        <v>30</v>
      </c>
      <c r="Q59" s="6" t="s">
        <v>46</v>
      </c>
      <c r="R59" s="53" t="s">
        <v>47</v>
      </c>
    </row>
    <row r="60" spans="2:18" ht="38.25" x14ac:dyDescent="0.2">
      <c r="B60" s="3" t="s">
        <v>186</v>
      </c>
      <c r="C60" s="4" t="s">
        <v>187</v>
      </c>
      <c r="D60" s="5">
        <v>9</v>
      </c>
      <c r="E60" s="5">
        <v>10</v>
      </c>
      <c r="F60" s="5" t="s">
        <v>188</v>
      </c>
      <c r="G60" s="5">
        <v>1</v>
      </c>
      <c r="H60" s="6" t="s">
        <v>6</v>
      </c>
      <c r="I60" s="6" t="s">
        <v>8</v>
      </c>
      <c r="J60" s="7">
        <v>12254247</v>
      </c>
      <c r="K60" s="7">
        <v>12254247</v>
      </c>
      <c r="L60" s="6">
        <v>0</v>
      </c>
      <c r="M60" s="6">
        <v>0</v>
      </c>
      <c r="N60" s="6" t="s">
        <v>26</v>
      </c>
      <c r="O60" s="6" t="s">
        <v>3</v>
      </c>
      <c r="P60" s="6" t="s">
        <v>30</v>
      </c>
      <c r="Q60" s="6" t="s">
        <v>46</v>
      </c>
      <c r="R60" s="53" t="s">
        <v>47</v>
      </c>
    </row>
    <row r="61" spans="2:18" ht="25.5" x14ac:dyDescent="0.2">
      <c r="B61" s="3" t="s">
        <v>54</v>
      </c>
      <c r="C61" s="4" t="s">
        <v>55</v>
      </c>
      <c r="D61" s="5" t="s">
        <v>9</v>
      </c>
      <c r="E61" s="5" t="s">
        <v>9</v>
      </c>
      <c r="F61" s="5">
        <v>3</v>
      </c>
      <c r="G61" s="5" t="s">
        <v>9</v>
      </c>
      <c r="H61" s="6" t="s">
        <v>6</v>
      </c>
      <c r="I61" s="6" t="s">
        <v>8</v>
      </c>
      <c r="J61" s="7">
        <f>1081000000</f>
        <v>1081000000</v>
      </c>
      <c r="K61" s="7">
        <f t="shared" ref="K61:K66" si="3">+(J61/F61)*(13-E61)</f>
        <v>4324000000</v>
      </c>
      <c r="L61" s="6">
        <v>0</v>
      </c>
      <c r="M61" s="6">
        <v>0</v>
      </c>
      <c r="N61" s="6" t="s">
        <v>26</v>
      </c>
      <c r="O61" s="6" t="s">
        <v>3</v>
      </c>
      <c r="P61" s="6" t="s">
        <v>30</v>
      </c>
      <c r="Q61" s="6" t="s">
        <v>46</v>
      </c>
      <c r="R61" s="53" t="s">
        <v>47</v>
      </c>
    </row>
    <row r="62" spans="2:18" ht="25.5" x14ac:dyDescent="0.2">
      <c r="B62" s="3" t="s">
        <v>52</v>
      </c>
      <c r="C62" s="4" t="s">
        <v>56</v>
      </c>
      <c r="D62" s="5" t="s">
        <v>9</v>
      </c>
      <c r="E62" s="5">
        <v>1</v>
      </c>
      <c r="F62" s="5">
        <v>3</v>
      </c>
      <c r="G62" s="5" t="s">
        <v>9</v>
      </c>
      <c r="H62" s="6" t="s">
        <v>6</v>
      </c>
      <c r="I62" s="6" t="s">
        <v>8</v>
      </c>
      <c r="J62" s="7">
        <f>60000000*3</f>
        <v>180000000</v>
      </c>
      <c r="K62" s="7">
        <f t="shared" si="3"/>
        <v>720000000</v>
      </c>
      <c r="L62" s="6">
        <v>0</v>
      </c>
      <c r="M62" s="6">
        <v>0</v>
      </c>
      <c r="N62" s="6" t="s">
        <v>26</v>
      </c>
      <c r="O62" s="6" t="s">
        <v>3</v>
      </c>
      <c r="P62" s="6" t="s">
        <v>30</v>
      </c>
      <c r="Q62" s="6" t="s">
        <v>46</v>
      </c>
      <c r="R62" s="53" t="s">
        <v>47</v>
      </c>
    </row>
    <row r="63" spans="2:18" ht="25.5" x14ac:dyDescent="0.2">
      <c r="B63" s="3" t="s">
        <v>57</v>
      </c>
      <c r="C63" s="4" t="s">
        <v>58</v>
      </c>
      <c r="D63" s="5" t="s">
        <v>9</v>
      </c>
      <c r="E63" s="5" t="s">
        <v>24</v>
      </c>
      <c r="F63" s="5">
        <v>4</v>
      </c>
      <c r="G63" s="5" t="s">
        <v>9</v>
      </c>
      <c r="H63" s="6" t="s">
        <v>6</v>
      </c>
      <c r="I63" s="6" t="s">
        <v>8</v>
      </c>
      <c r="J63" s="7">
        <v>317856000</v>
      </c>
      <c r="K63" s="7">
        <f t="shared" si="3"/>
        <v>874104000</v>
      </c>
      <c r="L63" s="6">
        <v>0</v>
      </c>
      <c r="M63" s="6">
        <v>0</v>
      </c>
      <c r="N63" s="6" t="s">
        <v>26</v>
      </c>
      <c r="O63" s="6" t="s">
        <v>3</v>
      </c>
      <c r="P63" s="6" t="s">
        <v>30</v>
      </c>
      <c r="Q63" s="6" t="s">
        <v>46</v>
      </c>
      <c r="R63" s="53" t="s">
        <v>47</v>
      </c>
    </row>
    <row r="64" spans="2:18" ht="38.25" x14ac:dyDescent="0.2">
      <c r="B64" s="3" t="s">
        <v>59</v>
      </c>
      <c r="C64" s="19" t="s">
        <v>60</v>
      </c>
      <c r="D64" s="5">
        <v>1</v>
      </c>
      <c r="E64" s="5">
        <v>1</v>
      </c>
      <c r="F64" s="5">
        <v>4</v>
      </c>
      <c r="G64" s="5" t="s">
        <v>9</v>
      </c>
      <c r="H64" s="6" t="s">
        <v>6</v>
      </c>
      <c r="I64" s="6" t="s">
        <v>8</v>
      </c>
      <c r="J64" s="7">
        <v>222000000</v>
      </c>
      <c r="K64" s="7">
        <f t="shared" si="3"/>
        <v>666000000</v>
      </c>
      <c r="L64" s="6">
        <v>0</v>
      </c>
      <c r="M64" s="6">
        <v>0</v>
      </c>
      <c r="N64" s="6" t="s">
        <v>26</v>
      </c>
      <c r="O64" s="6" t="s">
        <v>3</v>
      </c>
      <c r="P64" s="6" t="s">
        <v>30</v>
      </c>
      <c r="Q64" s="6" t="s">
        <v>46</v>
      </c>
      <c r="R64" s="53" t="s">
        <v>47</v>
      </c>
    </row>
    <row r="65" spans="2:18" ht="38.25" x14ac:dyDescent="0.2">
      <c r="B65" s="3" t="s">
        <v>59</v>
      </c>
      <c r="C65" s="19" t="s">
        <v>189</v>
      </c>
      <c r="D65" s="5">
        <v>9</v>
      </c>
      <c r="E65" s="5">
        <v>10</v>
      </c>
      <c r="F65" s="5" t="s">
        <v>25</v>
      </c>
      <c r="G65" s="5" t="s">
        <v>9</v>
      </c>
      <c r="H65" s="6" t="s">
        <v>6</v>
      </c>
      <c r="I65" s="6" t="s">
        <v>8</v>
      </c>
      <c r="J65" s="7">
        <v>80000000</v>
      </c>
      <c r="K65" s="7">
        <f t="shared" si="3"/>
        <v>60000000</v>
      </c>
      <c r="L65" s="6" t="s">
        <v>8</v>
      </c>
      <c r="M65" s="6" t="s">
        <v>8</v>
      </c>
      <c r="N65" s="6" t="s">
        <v>26</v>
      </c>
      <c r="O65" s="6" t="s">
        <v>3</v>
      </c>
      <c r="P65" s="6" t="s">
        <v>30</v>
      </c>
      <c r="Q65" s="6" t="s">
        <v>46</v>
      </c>
      <c r="R65" s="53" t="s">
        <v>47</v>
      </c>
    </row>
    <row r="66" spans="2:18" ht="38.25" x14ac:dyDescent="0.2">
      <c r="B66" s="3" t="s">
        <v>190</v>
      </c>
      <c r="C66" s="19" t="s">
        <v>191</v>
      </c>
      <c r="D66" s="5">
        <v>8</v>
      </c>
      <c r="E66" s="5">
        <v>9</v>
      </c>
      <c r="F66" s="5" t="s">
        <v>25</v>
      </c>
      <c r="G66" s="5" t="s">
        <v>9</v>
      </c>
      <c r="H66" s="6" t="s">
        <v>6</v>
      </c>
      <c r="I66" s="6" t="s">
        <v>8</v>
      </c>
      <c r="J66" s="7">
        <v>22000000</v>
      </c>
      <c r="K66" s="7">
        <f t="shared" si="3"/>
        <v>22000000</v>
      </c>
      <c r="L66" s="6" t="s">
        <v>8</v>
      </c>
      <c r="M66" s="6" t="s">
        <v>8</v>
      </c>
      <c r="N66" s="6" t="s">
        <v>26</v>
      </c>
      <c r="O66" s="6" t="s">
        <v>3</v>
      </c>
      <c r="P66" s="6" t="s">
        <v>30</v>
      </c>
      <c r="Q66" s="6" t="s">
        <v>46</v>
      </c>
      <c r="R66" s="53" t="s">
        <v>47</v>
      </c>
    </row>
    <row r="67" spans="2:18" ht="38.25" x14ac:dyDescent="0.2">
      <c r="B67" s="3" t="s">
        <v>52</v>
      </c>
      <c r="C67" s="4" t="s">
        <v>192</v>
      </c>
      <c r="D67" s="5">
        <v>4</v>
      </c>
      <c r="E67" s="5">
        <v>5</v>
      </c>
      <c r="F67" s="5">
        <v>12</v>
      </c>
      <c r="G67" s="5">
        <v>1</v>
      </c>
      <c r="H67" s="6" t="s">
        <v>6</v>
      </c>
      <c r="I67" s="6" t="s">
        <v>8</v>
      </c>
      <c r="J67" s="7">
        <v>124000000</v>
      </c>
      <c r="K67" s="7">
        <v>124000000</v>
      </c>
      <c r="L67" s="6">
        <v>0</v>
      </c>
      <c r="M67" s="6">
        <v>0</v>
      </c>
      <c r="N67" s="6" t="s">
        <v>26</v>
      </c>
      <c r="O67" s="6" t="s">
        <v>3</v>
      </c>
      <c r="P67" s="6" t="s">
        <v>30</v>
      </c>
      <c r="Q67" s="6" t="s">
        <v>46</v>
      </c>
      <c r="R67" s="53" t="s">
        <v>47</v>
      </c>
    </row>
    <row r="68" spans="2:18" ht="51" x14ac:dyDescent="0.2">
      <c r="B68" s="3" t="s">
        <v>52</v>
      </c>
      <c r="C68" s="19" t="s">
        <v>61</v>
      </c>
      <c r="D68" s="5" t="s">
        <v>9</v>
      </c>
      <c r="E68" s="5">
        <v>1</v>
      </c>
      <c r="F68" s="5" t="s">
        <v>62</v>
      </c>
      <c r="G68" s="5" t="s">
        <v>9</v>
      </c>
      <c r="H68" s="6" t="s">
        <v>6</v>
      </c>
      <c r="I68" s="6" t="s">
        <v>8</v>
      </c>
      <c r="J68" s="7">
        <v>2850000</v>
      </c>
      <c r="K68" s="7">
        <f>J68</f>
        <v>2850000</v>
      </c>
      <c r="L68" s="6">
        <v>0</v>
      </c>
      <c r="M68" s="6">
        <v>0</v>
      </c>
      <c r="N68" s="6" t="s">
        <v>26</v>
      </c>
      <c r="O68" s="6" t="s">
        <v>3</v>
      </c>
      <c r="P68" s="6" t="s">
        <v>30</v>
      </c>
      <c r="Q68" s="6" t="s">
        <v>46</v>
      </c>
      <c r="R68" s="53" t="s">
        <v>47</v>
      </c>
    </row>
    <row r="69" spans="2:18" ht="25.5" x14ac:dyDescent="0.2">
      <c r="B69" s="3" t="s">
        <v>52</v>
      </c>
      <c r="C69" s="4" t="s">
        <v>193</v>
      </c>
      <c r="D69" s="5">
        <v>5</v>
      </c>
      <c r="E69" s="5">
        <v>6</v>
      </c>
      <c r="F69" s="5" t="s">
        <v>24</v>
      </c>
      <c r="G69" s="5" t="s">
        <v>9</v>
      </c>
      <c r="H69" s="6" t="s">
        <v>6</v>
      </c>
      <c r="I69" s="6" t="s">
        <v>8</v>
      </c>
      <c r="J69" s="7">
        <v>33000000</v>
      </c>
      <c r="K69" s="7">
        <v>33000000</v>
      </c>
      <c r="L69" s="6">
        <v>0</v>
      </c>
      <c r="M69" s="6">
        <v>0</v>
      </c>
      <c r="N69" s="6" t="s">
        <v>26</v>
      </c>
      <c r="O69" s="6" t="s">
        <v>3</v>
      </c>
      <c r="P69" s="6" t="s">
        <v>30</v>
      </c>
      <c r="Q69" s="6" t="s">
        <v>46</v>
      </c>
      <c r="R69" s="53" t="s">
        <v>47</v>
      </c>
    </row>
    <row r="70" spans="2:18" ht="25.5" x14ac:dyDescent="0.2">
      <c r="B70" s="3" t="s">
        <v>52</v>
      </c>
      <c r="C70" s="4" t="s">
        <v>194</v>
      </c>
      <c r="D70" s="5">
        <v>4</v>
      </c>
      <c r="E70" s="5">
        <v>5</v>
      </c>
      <c r="F70" s="5">
        <v>1</v>
      </c>
      <c r="G70" s="5" t="s">
        <v>9</v>
      </c>
      <c r="H70" s="6" t="s">
        <v>6</v>
      </c>
      <c r="I70" s="6" t="s">
        <v>8</v>
      </c>
      <c r="J70" s="7">
        <v>500000000</v>
      </c>
      <c r="K70" s="7">
        <v>500000000</v>
      </c>
      <c r="L70" s="6">
        <v>0</v>
      </c>
      <c r="M70" s="6">
        <v>0</v>
      </c>
      <c r="N70" s="6" t="s">
        <v>26</v>
      </c>
      <c r="O70" s="6" t="s">
        <v>3</v>
      </c>
      <c r="P70" s="6" t="s">
        <v>30</v>
      </c>
      <c r="Q70" s="6" t="s">
        <v>46</v>
      </c>
      <c r="R70" s="53" t="s">
        <v>47</v>
      </c>
    </row>
    <row r="71" spans="2:18" ht="25.5" x14ac:dyDescent="0.2">
      <c r="B71" s="3" t="s">
        <v>195</v>
      </c>
      <c r="C71" s="4" t="s">
        <v>196</v>
      </c>
      <c r="D71" s="5">
        <v>10</v>
      </c>
      <c r="E71" s="5">
        <v>11</v>
      </c>
      <c r="F71" s="5">
        <v>2</v>
      </c>
      <c r="G71" s="5" t="s">
        <v>9</v>
      </c>
      <c r="H71" s="6" t="s">
        <v>6</v>
      </c>
      <c r="I71" s="6" t="s">
        <v>8</v>
      </c>
      <c r="J71" s="7">
        <f>13000000*F71</f>
        <v>26000000</v>
      </c>
      <c r="K71" s="7">
        <f>+(J71/F71)*(13-E71)</f>
        <v>26000000</v>
      </c>
      <c r="L71" s="6">
        <v>0</v>
      </c>
      <c r="M71" s="6">
        <v>0</v>
      </c>
      <c r="N71" s="6" t="s">
        <v>26</v>
      </c>
      <c r="O71" s="6" t="s">
        <v>3</v>
      </c>
      <c r="P71" s="6" t="s">
        <v>30</v>
      </c>
      <c r="Q71" s="6" t="s">
        <v>46</v>
      </c>
      <c r="R71" s="53" t="s">
        <v>47</v>
      </c>
    </row>
    <row r="72" spans="2:18" ht="25.5" x14ac:dyDescent="0.2">
      <c r="B72" s="3" t="s">
        <v>197</v>
      </c>
      <c r="C72" s="4" t="s">
        <v>198</v>
      </c>
      <c r="D72" s="5" t="s">
        <v>34</v>
      </c>
      <c r="E72" s="5" t="s">
        <v>25</v>
      </c>
      <c r="F72" s="5" t="s">
        <v>188</v>
      </c>
      <c r="G72" s="5">
        <v>1</v>
      </c>
      <c r="H72" s="6" t="s">
        <v>6</v>
      </c>
      <c r="I72" s="6" t="s">
        <v>8</v>
      </c>
      <c r="J72" s="7">
        <v>45300000</v>
      </c>
      <c r="K72" s="7">
        <v>45300000</v>
      </c>
      <c r="L72" s="6">
        <v>0</v>
      </c>
      <c r="M72" s="6">
        <v>0</v>
      </c>
      <c r="N72" s="6" t="s">
        <v>26</v>
      </c>
      <c r="O72" s="6" t="s">
        <v>3</v>
      </c>
      <c r="P72" s="6" t="s">
        <v>30</v>
      </c>
      <c r="Q72" s="6" t="s">
        <v>46</v>
      </c>
      <c r="R72" s="53" t="s">
        <v>47</v>
      </c>
    </row>
    <row r="73" spans="2:18" ht="25.5" x14ac:dyDescent="0.2">
      <c r="B73" s="3" t="s">
        <v>199</v>
      </c>
      <c r="C73" s="4" t="s">
        <v>200</v>
      </c>
      <c r="D73" s="5">
        <v>4</v>
      </c>
      <c r="E73" s="5">
        <v>5</v>
      </c>
      <c r="F73" s="5" t="s">
        <v>25</v>
      </c>
      <c r="G73" s="5" t="s">
        <v>9</v>
      </c>
      <c r="H73" s="6" t="s">
        <v>6</v>
      </c>
      <c r="I73" s="6" t="s">
        <v>8</v>
      </c>
      <c r="J73" s="7">
        <v>180000000</v>
      </c>
      <c r="K73" s="7">
        <v>180000000</v>
      </c>
      <c r="L73" s="6">
        <v>0</v>
      </c>
      <c r="M73" s="6">
        <v>0</v>
      </c>
      <c r="N73" s="6" t="s">
        <v>26</v>
      </c>
      <c r="O73" s="6" t="s">
        <v>3</v>
      </c>
      <c r="P73" s="6" t="s">
        <v>30</v>
      </c>
      <c r="Q73" s="6" t="s">
        <v>46</v>
      </c>
      <c r="R73" s="53" t="s">
        <v>47</v>
      </c>
    </row>
    <row r="74" spans="2:18" ht="38.25" x14ac:dyDescent="0.2">
      <c r="B74" s="3" t="s">
        <v>63</v>
      </c>
      <c r="C74" s="4" t="s">
        <v>64</v>
      </c>
      <c r="D74" s="5" t="s">
        <v>9</v>
      </c>
      <c r="E74" s="5" t="s">
        <v>24</v>
      </c>
      <c r="F74" s="5">
        <v>2</v>
      </c>
      <c r="G74" s="5" t="s">
        <v>9</v>
      </c>
      <c r="H74" s="6" t="s">
        <v>6</v>
      </c>
      <c r="I74" s="6" t="s">
        <v>8</v>
      </c>
      <c r="J74" s="7">
        <v>32000000</v>
      </c>
      <c r="K74" s="7">
        <f>J74</f>
        <v>32000000</v>
      </c>
      <c r="L74" s="6" t="s">
        <v>8</v>
      </c>
      <c r="M74" s="6" t="s">
        <v>8</v>
      </c>
      <c r="N74" s="6" t="s">
        <v>26</v>
      </c>
      <c r="O74" s="6" t="s">
        <v>3</v>
      </c>
      <c r="P74" s="6" t="s">
        <v>30</v>
      </c>
      <c r="Q74" s="6" t="s">
        <v>46</v>
      </c>
      <c r="R74" s="53" t="s">
        <v>47</v>
      </c>
    </row>
    <row r="75" spans="2:18" ht="25.5" x14ac:dyDescent="0.2">
      <c r="B75" s="3" t="s">
        <v>201</v>
      </c>
      <c r="C75" s="4" t="s">
        <v>202</v>
      </c>
      <c r="D75" s="5" t="s">
        <v>69</v>
      </c>
      <c r="E75" s="5" t="s">
        <v>203</v>
      </c>
      <c r="F75" s="5" t="s">
        <v>69</v>
      </c>
      <c r="G75" s="5" t="s">
        <v>9</v>
      </c>
      <c r="H75" s="6" t="s">
        <v>6</v>
      </c>
      <c r="I75" s="6" t="s">
        <v>8</v>
      </c>
      <c r="J75" s="7">
        <v>46200000</v>
      </c>
      <c r="K75" s="7">
        <f>+(J75/F75)*(13-E75)</f>
        <v>46200000</v>
      </c>
      <c r="L75" s="6">
        <v>0</v>
      </c>
      <c r="M75" s="6">
        <v>0</v>
      </c>
      <c r="N75" s="6" t="s">
        <v>26</v>
      </c>
      <c r="O75" s="6" t="s">
        <v>3</v>
      </c>
      <c r="P75" s="6" t="s">
        <v>30</v>
      </c>
      <c r="Q75" s="6" t="s">
        <v>46</v>
      </c>
      <c r="R75" s="53" t="s">
        <v>47</v>
      </c>
    </row>
    <row r="76" spans="2:18" ht="51" x14ac:dyDescent="0.2">
      <c r="B76" s="3" t="s">
        <v>204</v>
      </c>
      <c r="C76" s="19" t="s">
        <v>205</v>
      </c>
      <c r="D76" s="5">
        <v>2</v>
      </c>
      <c r="E76" s="5">
        <v>3</v>
      </c>
      <c r="F76" s="5">
        <v>4</v>
      </c>
      <c r="G76" s="5" t="s">
        <v>9</v>
      </c>
      <c r="H76" s="6" t="s">
        <v>6</v>
      </c>
      <c r="I76" s="6" t="s">
        <v>8</v>
      </c>
      <c r="J76" s="7">
        <f>6500000*F76</f>
        <v>26000000</v>
      </c>
      <c r="K76" s="7">
        <f>+(J76/F76)*(13-E76)</f>
        <v>65000000</v>
      </c>
      <c r="L76" s="6">
        <v>0</v>
      </c>
      <c r="M76" s="6">
        <v>0</v>
      </c>
      <c r="N76" s="6" t="s">
        <v>26</v>
      </c>
      <c r="O76" s="6" t="s">
        <v>3</v>
      </c>
      <c r="P76" s="6" t="s">
        <v>30</v>
      </c>
      <c r="Q76" s="6" t="s">
        <v>46</v>
      </c>
      <c r="R76" s="53" t="s">
        <v>47</v>
      </c>
    </row>
    <row r="77" spans="2:18" ht="38.25" x14ac:dyDescent="0.2">
      <c r="B77" s="3" t="s">
        <v>65</v>
      </c>
      <c r="C77" s="4" t="s">
        <v>66</v>
      </c>
      <c r="D77" s="5" t="s">
        <v>9</v>
      </c>
      <c r="E77" s="5">
        <v>1</v>
      </c>
      <c r="F77" s="5">
        <v>4</v>
      </c>
      <c r="G77" s="5" t="s">
        <v>9</v>
      </c>
      <c r="H77" s="6" t="s">
        <v>6</v>
      </c>
      <c r="I77" s="6" t="s">
        <v>8</v>
      </c>
      <c r="J77" s="7">
        <v>95000000</v>
      </c>
      <c r="K77" s="7">
        <f>+(J77/F77)*(13-E77)</f>
        <v>285000000</v>
      </c>
      <c r="L77" s="6">
        <v>0</v>
      </c>
      <c r="M77" s="6">
        <v>0</v>
      </c>
      <c r="N77" s="6" t="s">
        <v>26</v>
      </c>
      <c r="O77" s="6" t="s">
        <v>3</v>
      </c>
      <c r="P77" s="6" t="s">
        <v>30</v>
      </c>
      <c r="Q77" s="6" t="s">
        <v>46</v>
      </c>
      <c r="R77" s="53" t="s">
        <v>47</v>
      </c>
    </row>
    <row r="78" spans="2:18" ht="76.5" x14ac:dyDescent="0.2">
      <c r="B78" s="3" t="s">
        <v>201</v>
      </c>
      <c r="C78" s="19" t="s">
        <v>206</v>
      </c>
      <c r="D78" s="5" t="s">
        <v>69</v>
      </c>
      <c r="E78" s="5" t="s">
        <v>203</v>
      </c>
      <c r="F78" s="5" t="s">
        <v>69</v>
      </c>
      <c r="G78" s="5" t="s">
        <v>9</v>
      </c>
      <c r="H78" s="6" t="s">
        <v>6</v>
      </c>
      <c r="I78" s="6" t="s">
        <v>8</v>
      </c>
      <c r="J78" s="7">
        <v>142000000</v>
      </c>
      <c r="K78" s="7">
        <v>142000000</v>
      </c>
      <c r="L78" s="6">
        <v>0</v>
      </c>
      <c r="M78" s="6">
        <v>0</v>
      </c>
      <c r="N78" s="6" t="s">
        <v>26</v>
      </c>
      <c r="O78" s="6" t="s">
        <v>3</v>
      </c>
      <c r="P78" s="6" t="s">
        <v>30</v>
      </c>
      <c r="Q78" s="6" t="s">
        <v>46</v>
      </c>
      <c r="R78" s="53" t="s">
        <v>47</v>
      </c>
    </row>
    <row r="79" spans="2:18" ht="25.5" x14ac:dyDescent="0.2">
      <c r="B79" s="3" t="s">
        <v>67</v>
      </c>
      <c r="C79" s="19" t="s">
        <v>207</v>
      </c>
      <c r="D79" s="5">
        <v>6</v>
      </c>
      <c r="E79" s="5">
        <v>7</v>
      </c>
      <c r="F79" s="5">
        <v>6</v>
      </c>
      <c r="G79" s="5">
        <v>1</v>
      </c>
      <c r="H79" s="6" t="s">
        <v>6</v>
      </c>
      <c r="I79" s="5">
        <v>0</v>
      </c>
      <c r="J79" s="7">
        <v>25000000</v>
      </c>
      <c r="K79" s="7">
        <f>+(J79/F79)*(13-E79)</f>
        <v>25000000</v>
      </c>
      <c r="L79" s="5">
        <v>0</v>
      </c>
      <c r="M79" s="5">
        <v>0</v>
      </c>
      <c r="N79" s="18" t="s">
        <v>26</v>
      </c>
      <c r="O79" s="5" t="s">
        <v>3</v>
      </c>
      <c r="P79" s="10" t="s">
        <v>30</v>
      </c>
      <c r="Q79" s="5">
        <v>3002920982</v>
      </c>
      <c r="R79" s="52" t="s">
        <v>47</v>
      </c>
    </row>
    <row r="80" spans="2:18" ht="25.5" x14ac:dyDescent="0.2">
      <c r="B80" s="3" t="s">
        <v>67</v>
      </c>
      <c r="C80" s="19" t="s">
        <v>68</v>
      </c>
      <c r="D80" s="5">
        <v>1</v>
      </c>
      <c r="E80" s="5">
        <v>1</v>
      </c>
      <c r="F80" s="5">
        <v>3</v>
      </c>
      <c r="G80" s="5">
        <v>1</v>
      </c>
      <c r="H80" s="6" t="s">
        <v>6</v>
      </c>
      <c r="I80" s="5">
        <v>0</v>
      </c>
      <c r="J80" s="7">
        <v>28000000</v>
      </c>
      <c r="K80" s="7">
        <f>+(J80/F80)*(13-E80)</f>
        <v>112000000</v>
      </c>
      <c r="L80" s="5">
        <v>0</v>
      </c>
      <c r="M80" s="5">
        <v>0</v>
      </c>
      <c r="N80" s="18" t="s">
        <v>26</v>
      </c>
      <c r="O80" s="5" t="s">
        <v>3</v>
      </c>
      <c r="P80" s="10" t="s">
        <v>30</v>
      </c>
      <c r="Q80" s="5">
        <v>3002920982</v>
      </c>
      <c r="R80" s="52" t="s">
        <v>47</v>
      </c>
    </row>
    <row r="81" spans="2:18" ht="25.5" x14ac:dyDescent="0.2">
      <c r="B81" s="3" t="s">
        <v>67</v>
      </c>
      <c r="C81" s="20" t="s">
        <v>70</v>
      </c>
      <c r="D81" s="5">
        <v>1</v>
      </c>
      <c r="E81" s="5">
        <v>1</v>
      </c>
      <c r="F81" s="5">
        <v>3</v>
      </c>
      <c r="G81" s="5">
        <v>1</v>
      </c>
      <c r="H81" s="6" t="s">
        <v>6</v>
      </c>
      <c r="I81" s="5">
        <v>0</v>
      </c>
      <c r="J81" s="7">
        <v>90000000</v>
      </c>
      <c r="K81" s="7">
        <v>90000000</v>
      </c>
      <c r="L81" s="5">
        <v>0</v>
      </c>
      <c r="M81" s="5">
        <v>0</v>
      </c>
      <c r="N81" s="18" t="s">
        <v>26</v>
      </c>
      <c r="O81" s="5" t="s">
        <v>3</v>
      </c>
      <c r="P81" s="10" t="s">
        <v>30</v>
      </c>
      <c r="Q81" s="5">
        <v>3002920982</v>
      </c>
      <c r="R81" s="52" t="s">
        <v>47</v>
      </c>
    </row>
    <row r="82" spans="2:18" ht="38.25" x14ac:dyDescent="0.2">
      <c r="B82" s="3" t="s">
        <v>71</v>
      </c>
      <c r="C82" s="20" t="s">
        <v>72</v>
      </c>
      <c r="D82" s="5">
        <v>5</v>
      </c>
      <c r="E82" s="5">
        <v>6</v>
      </c>
      <c r="F82" s="5">
        <v>3</v>
      </c>
      <c r="G82" s="5">
        <v>1</v>
      </c>
      <c r="H82" s="6" t="s">
        <v>6</v>
      </c>
      <c r="I82" s="5">
        <v>0</v>
      </c>
      <c r="J82" s="7">
        <v>60000000</v>
      </c>
      <c r="K82" s="7">
        <f>+(J82/F82)*(13-E82)</f>
        <v>140000000</v>
      </c>
      <c r="L82" s="5">
        <v>0</v>
      </c>
      <c r="M82" s="5">
        <v>0</v>
      </c>
      <c r="N82" s="18" t="s">
        <v>26</v>
      </c>
      <c r="O82" s="5" t="s">
        <v>3</v>
      </c>
      <c r="P82" s="10" t="s">
        <v>30</v>
      </c>
      <c r="Q82" s="5">
        <v>3182653800</v>
      </c>
      <c r="R82" s="55" t="s">
        <v>74</v>
      </c>
    </row>
    <row r="83" spans="2:18" ht="76.5" x14ac:dyDescent="0.2">
      <c r="B83" s="3" t="s">
        <v>208</v>
      </c>
      <c r="C83" s="20" t="s">
        <v>209</v>
      </c>
      <c r="D83" s="5">
        <v>2</v>
      </c>
      <c r="E83" s="5">
        <v>3</v>
      </c>
      <c r="F83" s="5">
        <v>3</v>
      </c>
      <c r="G83" s="5">
        <v>1</v>
      </c>
      <c r="H83" s="6" t="s">
        <v>6</v>
      </c>
      <c r="I83" s="5">
        <v>0</v>
      </c>
      <c r="J83" s="7">
        <v>278395400</v>
      </c>
      <c r="K83" s="7">
        <v>278395400</v>
      </c>
      <c r="L83" s="5">
        <v>0</v>
      </c>
      <c r="M83" s="5">
        <v>0</v>
      </c>
      <c r="N83" s="18" t="s">
        <v>26</v>
      </c>
      <c r="O83" s="5" t="s">
        <v>3</v>
      </c>
      <c r="P83" s="10" t="s">
        <v>210</v>
      </c>
      <c r="Q83" s="5">
        <v>3212918954</v>
      </c>
      <c r="R83" s="52" t="s">
        <v>211</v>
      </c>
    </row>
    <row r="84" spans="2:18" ht="25.5" x14ac:dyDescent="0.2">
      <c r="B84" s="21" t="s">
        <v>212</v>
      </c>
      <c r="C84" s="20" t="s">
        <v>213</v>
      </c>
      <c r="D84" s="5">
        <v>4</v>
      </c>
      <c r="E84" s="5">
        <v>5</v>
      </c>
      <c r="F84" s="5">
        <v>2</v>
      </c>
      <c r="G84" s="5">
        <v>1</v>
      </c>
      <c r="H84" s="6" t="s">
        <v>6</v>
      </c>
      <c r="I84" s="5">
        <v>0</v>
      </c>
      <c r="J84" s="7">
        <v>33340000</v>
      </c>
      <c r="K84" s="7">
        <f>+(J84/F84)*(13-E84)</f>
        <v>133360000</v>
      </c>
      <c r="L84" s="5">
        <v>0</v>
      </c>
      <c r="M84" s="5">
        <v>0</v>
      </c>
      <c r="N84" s="18" t="s">
        <v>26</v>
      </c>
      <c r="O84" s="5" t="s">
        <v>3</v>
      </c>
      <c r="P84" s="6" t="s">
        <v>214</v>
      </c>
      <c r="Q84" s="6">
        <v>3108734212</v>
      </c>
      <c r="R84" s="55" t="s">
        <v>215</v>
      </c>
    </row>
    <row r="85" spans="2:18" ht="25.5" x14ac:dyDescent="0.2">
      <c r="B85" s="21" t="s">
        <v>216</v>
      </c>
      <c r="C85" s="20" t="s">
        <v>217</v>
      </c>
      <c r="D85" s="5">
        <v>5</v>
      </c>
      <c r="E85" s="5">
        <v>6</v>
      </c>
      <c r="F85" s="5">
        <v>4</v>
      </c>
      <c r="G85" s="5">
        <v>1</v>
      </c>
      <c r="H85" s="6" t="s">
        <v>6</v>
      </c>
      <c r="I85" s="5">
        <v>0</v>
      </c>
      <c r="J85" s="7">
        <v>156000000</v>
      </c>
      <c r="K85" s="7">
        <f>+(J85/F85)*(13-E85)</f>
        <v>273000000</v>
      </c>
      <c r="L85" s="5">
        <v>0</v>
      </c>
      <c r="M85" s="5">
        <v>0</v>
      </c>
      <c r="N85" s="18" t="s">
        <v>26</v>
      </c>
      <c r="O85" s="5" t="s">
        <v>3</v>
      </c>
      <c r="P85" s="6" t="s">
        <v>214</v>
      </c>
      <c r="Q85" s="6">
        <v>3108734212</v>
      </c>
      <c r="R85" s="55" t="s">
        <v>215</v>
      </c>
    </row>
    <row r="86" spans="2:18" ht="25.5" x14ac:dyDescent="0.2">
      <c r="B86" s="21" t="s">
        <v>218</v>
      </c>
      <c r="C86" s="20" t="s">
        <v>219</v>
      </c>
      <c r="D86" s="5">
        <v>5</v>
      </c>
      <c r="E86" s="5">
        <v>6</v>
      </c>
      <c r="F86" s="5">
        <v>1</v>
      </c>
      <c r="G86" s="5">
        <v>1</v>
      </c>
      <c r="H86" s="6" t="s">
        <v>6</v>
      </c>
      <c r="I86" s="5">
        <v>0</v>
      </c>
      <c r="J86" s="7">
        <v>15000000</v>
      </c>
      <c r="K86" s="7">
        <v>15000000</v>
      </c>
      <c r="L86" s="5">
        <v>0</v>
      </c>
      <c r="M86" s="5">
        <v>0</v>
      </c>
      <c r="N86" s="18" t="s">
        <v>26</v>
      </c>
      <c r="O86" s="5" t="s">
        <v>3</v>
      </c>
      <c r="P86" s="6" t="s">
        <v>214</v>
      </c>
      <c r="Q86" s="6">
        <v>3108734212</v>
      </c>
      <c r="R86" s="55" t="s">
        <v>215</v>
      </c>
    </row>
    <row r="87" spans="2:18" ht="25.5" x14ac:dyDescent="0.2">
      <c r="B87" s="3" t="s">
        <v>220</v>
      </c>
      <c r="C87" s="20" t="s">
        <v>221</v>
      </c>
      <c r="D87" s="5">
        <v>4</v>
      </c>
      <c r="E87" s="5">
        <v>5</v>
      </c>
      <c r="F87" s="5">
        <v>4</v>
      </c>
      <c r="G87" s="5">
        <v>1</v>
      </c>
      <c r="H87" s="6" t="s">
        <v>6</v>
      </c>
      <c r="I87" s="5">
        <v>0</v>
      </c>
      <c r="J87" s="7">
        <f>7500000*4</f>
        <v>30000000</v>
      </c>
      <c r="K87" s="7">
        <f t="shared" ref="K87:K93" si="4">+(J87/F87)*(13-E87)</f>
        <v>60000000</v>
      </c>
      <c r="L87" s="5">
        <v>0</v>
      </c>
      <c r="M87" s="5">
        <v>0</v>
      </c>
      <c r="N87" s="18" t="s">
        <v>26</v>
      </c>
      <c r="O87" s="5" t="s">
        <v>3</v>
      </c>
      <c r="P87" s="10" t="s">
        <v>222</v>
      </c>
      <c r="Q87" s="5">
        <v>3013415850</v>
      </c>
      <c r="R87" s="55" t="s">
        <v>223</v>
      </c>
    </row>
    <row r="88" spans="2:18" ht="51" x14ac:dyDescent="0.2">
      <c r="B88" s="3" t="s">
        <v>224</v>
      </c>
      <c r="C88" s="20" t="s">
        <v>225</v>
      </c>
      <c r="D88" s="5">
        <v>4</v>
      </c>
      <c r="E88" s="5">
        <v>5</v>
      </c>
      <c r="F88" s="5">
        <v>4</v>
      </c>
      <c r="G88" s="5">
        <v>1</v>
      </c>
      <c r="H88" s="6" t="s">
        <v>6</v>
      </c>
      <c r="I88" s="5">
        <v>0</v>
      </c>
      <c r="J88" s="7">
        <f>372000000*4</f>
        <v>1488000000</v>
      </c>
      <c r="K88" s="7">
        <f t="shared" si="4"/>
        <v>2976000000</v>
      </c>
      <c r="L88" s="5">
        <v>0</v>
      </c>
      <c r="M88" s="5">
        <v>0</v>
      </c>
      <c r="N88" s="18" t="s">
        <v>26</v>
      </c>
      <c r="O88" s="5" t="s">
        <v>3</v>
      </c>
      <c r="P88" s="10" t="s">
        <v>222</v>
      </c>
      <c r="Q88" s="5">
        <v>3013415850</v>
      </c>
      <c r="R88" s="55" t="s">
        <v>223</v>
      </c>
    </row>
    <row r="89" spans="2:18" ht="25.5" x14ac:dyDescent="0.2">
      <c r="B89" s="3" t="s">
        <v>224</v>
      </c>
      <c r="C89" s="20" t="s">
        <v>226</v>
      </c>
      <c r="D89" s="5">
        <v>3</v>
      </c>
      <c r="E89" s="5">
        <v>4</v>
      </c>
      <c r="F89" s="5">
        <v>4</v>
      </c>
      <c r="G89" s="5">
        <v>1</v>
      </c>
      <c r="H89" s="6" t="s">
        <v>6</v>
      </c>
      <c r="I89" s="5">
        <v>0</v>
      </c>
      <c r="J89" s="7">
        <f>7000000*4</f>
        <v>28000000</v>
      </c>
      <c r="K89" s="7">
        <f t="shared" si="4"/>
        <v>63000000</v>
      </c>
      <c r="L89" s="5">
        <v>0</v>
      </c>
      <c r="M89" s="5">
        <v>0</v>
      </c>
      <c r="N89" s="18" t="s">
        <v>26</v>
      </c>
      <c r="O89" s="5" t="s">
        <v>3</v>
      </c>
      <c r="P89" s="10" t="s">
        <v>222</v>
      </c>
      <c r="Q89" s="5">
        <v>3013415850</v>
      </c>
      <c r="R89" s="55" t="s">
        <v>223</v>
      </c>
    </row>
    <row r="90" spans="2:18" ht="63.75" x14ac:dyDescent="0.2">
      <c r="B90" s="3" t="s">
        <v>227</v>
      </c>
      <c r="C90" s="20" t="s">
        <v>228</v>
      </c>
      <c r="D90" s="5">
        <v>3</v>
      </c>
      <c r="E90" s="5">
        <v>4</v>
      </c>
      <c r="F90" s="5">
        <v>2</v>
      </c>
      <c r="G90" s="5">
        <v>1</v>
      </c>
      <c r="H90" s="6" t="s">
        <v>6</v>
      </c>
      <c r="I90" s="5">
        <v>0</v>
      </c>
      <c r="J90" s="7">
        <f>680000000*2</f>
        <v>1360000000</v>
      </c>
      <c r="K90" s="7">
        <f t="shared" si="4"/>
        <v>6120000000</v>
      </c>
      <c r="L90" s="5">
        <v>0</v>
      </c>
      <c r="M90" s="5">
        <v>0</v>
      </c>
      <c r="N90" s="18" t="s">
        <v>26</v>
      </c>
      <c r="O90" s="5" t="s">
        <v>3</v>
      </c>
      <c r="P90" s="10" t="s">
        <v>222</v>
      </c>
      <c r="Q90" s="5">
        <v>3013415850</v>
      </c>
      <c r="R90" s="55" t="s">
        <v>223</v>
      </c>
    </row>
    <row r="91" spans="2:18" ht="25.5" x14ac:dyDescent="0.2">
      <c r="B91" s="21" t="s">
        <v>229</v>
      </c>
      <c r="C91" s="20" t="s">
        <v>230</v>
      </c>
      <c r="D91" s="5">
        <v>2</v>
      </c>
      <c r="E91" s="5">
        <v>3</v>
      </c>
      <c r="F91" s="5">
        <v>1</v>
      </c>
      <c r="G91" s="5">
        <v>1</v>
      </c>
      <c r="H91" s="6" t="s">
        <v>6</v>
      </c>
      <c r="I91" s="5">
        <v>0</v>
      </c>
      <c r="J91" s="7">
        <v>70000000</v>
      </c>
      <c r="K91" s="7">
        <f t="shared" si="4"/>
        <v>700000000</v>
      </c>
      <c r="L91" s="5">
        <v>0</v>
      </c>
      <c r="M91" s="5">
        <v>0</v>
      </c>
      <c r="N91" s="18" t="s">
        <v>26</v>
      </c>
      <c r="O91" s="5" t="s">
        <v>3</v>
      </c>
      <c r="P91" s="6" t="s">
        <v>77</v>
      </c>
      <c r="Q91" s="6" t="s">
        <v>78</v>
      </c>
      <c r="R91" s="55" t="s">
        <v>79</v>
      </c>
    </row>
    <row r="92" spans="2:18" ht="25.5" x14ac:dyDescent="0.2">
      <c r="B92" s="3" t="s">
        <v>227</v>
      </c>
      <c r="C92" s="20" t="s">
        <v>231</v>
      </c>
      <c r="D92" s="5">
        <v>2</v>
      </c>
      <c r="E92" s="5">
        <v>3</v>
      </c>
      <c r="F92" s="5">
        <v>1</v>
      </c>
      <c r="G92" s="5">
        <v>1</v>
      </c>
      <c r="H92" s="6" t="s">
        <v>6</v>
      </c>
      <c r="I92" s="5">
        <v>0</v>
      </c>
      <c r="J92" s="7">
        <f>26000000/2</f>
        <v>13000000</v>
      </c>
      <c r="K92" s="7">
        <f t="shared" si="4"/>
        <v>130000000</v>
      </c>
      <c r="L92" s="5">
        <v>0</v>
      </c>
      <c r="M92" s="5">
        <v>0</v>
      </c>
      <c r="N92" s="18" t="s">
        <v>26</v>
      </c>
      <c r="O92" s="5" t="s">
        <v>3</v>
      </c>
      <c r="P92" s="6" t="s">
        <v>77</v>
      </c>
      <c r="Q92" s="6" t="s">
        <v>78</v>
      </c>
      <c r="R92" s="55" t="s">
        <v>79</v>
      </c>
    </row>
    <row r="93" spans="2:18" ht="38.25" x14ac:dyDescent="0.2">
      <c r="B93" s="3" t="s">
        <v>232</v>
      </c>
      <c r="C93" s="20" t="s">
        <v>233</v>
      </c>
      <c r="D93" s="5">
        <v>2</v>
      </c>
      <c r="E93" s="5">
        <v>3</v>
      </c>
      <c r="F93" s="5">
        <v>1</v>
      </c>
      <c r="G93" s="5">
        <v>1</v>
      </c>
      <c r="H93" s="6" t="s">
        <v>6</v>
      </c>
      <c r="I93" s="5">
        <v>0</v>
      </c>
      <c r="J93" s="7">
        <v>40000000</v>
      </c>
      <c r="K93" s="7">
        <f t="shared" si="4"/>
        <v>400000000</v>
      </c>
      <c r="L93" s="5">
        <v>0</v>
      </c>
      <c r="M93" s="5">
        <v>0</v>
      </c>
      <c r="N93" s="18" t="s">
        <v>26</v>
      </c>
      <c r="O93" s="5" t="s">
        <v>3</v>
      </c>
      <c r="P93" s="6" t="s">
        <v>77</v>
      </c>
      <c r="Q93" s="6" t="s">
        <v>78</v>
      </c>
      <c r="R93" s="55" t="s">
        <v>79</v>
      </c>
    </row>
    <row r="94" spans="2:18" ht="25.5" x14ac:dyDescent="0.2">
      <c r="B94" s="3" t="s">
        <v>234</v>
      </c>
      <c r="C94" s="20" t="s">
        <v>235</v>
      </c>
      <c r="D94" s="5">
        <v>5</v>
      </c>
      <c r="E94" s="5">
        <v>6</v>
      </c>
      <c r="F94" s="5">
        <v>3</v>
      </c>
      <c r="G94" s="5">
        <v>1</v>
      </c>
      <c r="H94" s="6" t="s">
        <v>6</v>
      </c>
      <c r="I94" s="5">
        <v>0</v>
      </c>
      <c r="J94" s="7">
        <v>53000000</v>
      </c>
      <c r="K94" s="7">
        <v>53000000</v>
      </c>
      <c r="L94" s="5">
        <v>0</v>
      </c>
      <c r="M94" s="5">
        <v>0</v>
      </c>
      <c r="N94" s="18" t="s">
        <v>26</v>
      </c>
      <c r="O94" s="5" t="s">
        <v>3</v>
      </c>
      <c r="P94" s="6" t="s">
        <v>77</v>
      </c>
      <c r="Q94" s="6" t="s">
        <v>78</v>
      </c>
      <c r="R94" s="55" t="s">
        <v>79</v>
      </c>
    </row>
    <row r="95" spans="2:18" ht="25.5" x14ac:dyDescent="0.2">
      <c r="B95" s="21" t="s">
        <v>236</v>
      </c>
      <c r="C95" s="20" t="s">
        <v>237</v>
      </c>
      <c r="D95" s="5">
        <v>7</v>
      </c>
      <c r="E95" s="5">
        <v>8</v>
      </c>
      <c r="F95" s="5">
        <v>3</v>
      </c>
      <c r="G95" s="5">
        <v>1</v>
      </c>
      <c r="H95" s="6" t="s">
        <v>6</v>
      </c>
      <c r="I95" s="5">
        <v>0</v>
      </c>
      <c r="J95" s="7">
        <v>47680000</v>
      </c>
      <c r="K95" s="7">
        <v>47680000</v>
      </c>
      <c r="L95" s="5">
        <v>0</v>
      </c>
      <c r="M95" s="5">
        <v>0</v>
      </c>
      <c r="N95" s="18" t="s">
        <v>26</v>
      </c>
      <c r="O95" s="5" t="s">
        <v>3</v>
      </c>
      <c r="P95" s="6" t="s">
        <v>77</v>
      </c>
      <c r="Q95" s="6" t="s">
        <v>78</v>
      </c>
      <c r="R95" s="55" t="s">
        <v>79</v>
      </c>
    </row>
    <row r="96" spans="2:18" ht="25.5" x14ac:dyDescent="0.2">
      <c r="B96" s="21" t="s">
        <v>238</v>
      </c>
      <c r="C96" s="20" t="s">
        <v>239</v>
      </c>
      <c r="D96" s="5">
        <v>7</v>
      </c>
      <c r="E96" s="5">
        <v>8</v>
      </c>
      <c r="F96" s="5">
        <v>3</v>
      </c>
      <c r="G96" s="5">
        <v>1</v>
      </c>
      <c r="H96" s="6" t="s">
        <v>6</v>
      </c>
      <c r="I96" s="5">
        <v>0</v>
      </c>
      <c r="J96" s="7">
        <v>62400000</v>
      </c>
      <c r="K96" s="7">
        <v>62400000</v>
      </c>
      <c r="L96" s="5">
        <v>0</v>
      </c>
      <c r="M96" s="5">
        <v>0</v>
      </c>
      <c r="N96" s="18" t="s">
        <v>26</v>
      </c>
      <c r="O96" s="5" t="s">
        <v>3</v>
      </c>
      <c r="P96" s="6" t="s">
        <v>77</v>
      </c>
      <c r="Q96" s="6" t="s">
        <v>78</v>
      </c>
      <c r="R96" s="55" t="s">
        <v>79</v>
      </c>
    </row>
    <row r="97" spans="2:18" ht="25.5" x14ac:dyDescent="0.2">
      <c r="B97" s="21" t="s">
        <v>236</v>
      </c>
      <c r="C97" s="20" t="s">
        <v>240</v>
      </c>
      <c r="D97" s="5">
        <v>7</v>
      </c>
      <c r="E97" s="5">
        <v>8</v>
      </c>
      <c r="F97" s="5">
        <v>2</v>
      </c>
      <c r="G97" s="5">
        <v>1</v>
      </c>
      <c r="H97" s="6" t="s">
        <v>6</v>
      </c>
      <c r="I97" s="5">
        <v>0</v>
      </c>
      <c r="J97" s="7">
        <v>45000000</v>
      </c>
      <c r="K97" s="7">
        <v>45000000</v>
      </c>
      <c r="L97" s="5">
        <v>0</v>
      </c>
      <c r="M97" s="5">
        <v>0</v>
      </c>
      <c r="N97" s="18" t="s">
        <v>26</v>
      </c>
      <c r="O97" s="5" t="s">
        <v>3</v>
      </c>
      <c r="P97" s="6" t="s">
        <v>77</v>
      </c>
      <c r="Q97" s="6" t="s">
        <v>78</v>
      </c>
      <c r="R97" s="55" t="s">
        <v>79</v>
      </c>
    </row>
    <row r="98" spans="2:18" ht="25.5" x14ac:dyDescent="0.2">
      <c r="B98" s="3" t="s">
        <v>241</v>
      </c>
      <c r="C98" s="20" t="s">
        <v>242</v>
      </c>
      <c r="D98" s="5">
        <v>7</v>
      </c>
      <c r="E98" s="5">
        <v>8</v>
      </c>
      <c r="F98" s="5">
        <v>2</v>
      </c>
      <c r="G98" s="5">
        <v>1</v>
      </c>
      <c r="H98" s="6" t="s">
        <v>6</v>
      </c>
      <c r="I98" s="5">
        <v>0</v>
      </c>
      <c r="J98" s="7">
        <v>31000000</v>
      </c>
      <c r="K98" s="7">
        <v>31000000</v>
      </c>
      <c r="L98" s="5">
        <v>0</v>
      </c>
      <c r="M98" s="5">
        <v>0</v>
      </c>
      <c r="N98" s="18" t="s">
        <v>26</v>
      </c>
      <c r="O98" s="5" t="s">
        <v>3</v>
      </c>
      <c r="P98" s="6" t="s">
        <v>77</v>
      </c>
      <c r="Q98" s="6" t="s">
        <v>78</v>
      </c>
      <c r="R98" s="55" t="s">
        <v>79</v>
      </c>
    </row>
    <row r="99" spans="2:18" ht="25.5" x14ac:dyDescent="0.2">
      <c r="B99" s="21" t="s">
        <v>243</v>
      </c>
      <c r="C99" s="20" t="s">
        <v>244</v>
      </c>
      <c r="D99" s="5">
        <v>6</v>
      </c>
      <c r="E99" s="5">
        <v>7</v>
      </c>
      <c r="F99" s="5">
        <v>2</v>
      </c>
      <c r="G99" s="5">
        <v>1</v>
      </c>
      <c r="H99" s="6" t="s">
        <v>6</v>
      </c>
      <c r="I99" s="5">
        <v>0</v>
      </c>
      <c r="J99" s="7">
        <v>31000000</v>
      </c>
      <c r="K99" s="7">
        <v>31000000</v>
      </c>
      <c r="L99" s="5">
        <v>0</v>
      </c>
      <c r="M99" s="5">
        <v>0</v>
      </c>
      <c r="N99" s="18" t="s">
        <v>26</v>
      </c>
      <c r="O99" s="5" t="s">
        <v>3</v>
      </c>
      <c r="P99" s="6" t="s">
        <v>77</v>
      </c>
      <c r="Q99" s="6" t="s">
        <v>78</v>
      </c>
      <c r="R99" s="55" t="s">
        <v>79</v>
      </c>
    </row>
    <row r="100" spans="2:18" ht="89.25" x14ac:dyDescent="0.2">
      <c r="B100" s="21" t="s">
        <v>75</v>
      </c>
      <c r="C100" s="20" t="s">
        <v>76</v>
      </c>
      <c r="D100" s="5">
        <v>2</v>
      </c>
      <c r="E100" s="5">
        <v>3</v>
      </c>
      <c r="F100" s="5">
        <v>3</v>
      </c>
      <c r="G100" s="5">
        <v>1</v>
      </c>
      <c r="H100" s="6" t="s">
        <v>6</v>
      </c>
      <c r="I100" s="5">
        <v>0</v>
      </c>
      <c r="J100" s="7">
        <v>1347000000</v>
      </c>
      <c r="K100" s="7">
        <f>+(J100/F100)*(13-E100)</f>
        <v>4490000000</v>
      </c>
      <c r="L100" s="5">
        <v>0</v>
      </c>
      <c r="M100" s="5">
        <v>0</v>
      </c>
      <c r="N100" s="18" t="s">
        <v>26</v>
      </c>
      <c r="O100" s="5" t="s">
        <v>3</v>
      </c>
      <c r="P100" s="6" t="s">
        <v>77</v>
      </c>
      <c r="Q100" s="6" t="s">
        <v>78</v>
      </c>
      <c r="R100" s="55" t="s">
        <v>79</v>
      </c>
    </row>
    <row r="101" spans="2:18" ht="89.25" x14ac:dyDescent="0.2">
      <c r="B101" s="3" t="s">
        <v>245</v>
      </c>
      <c r="C101" s="20" t="s">
        <v>246</v>
      </c>
      <c r="D101" s="5">
        <v>2</v>
      </c>
      <c r="E101" s="5">
        <v>3</v>
      </c>
      <c r="F101" s="5">
        <v>1</v>
      </c>
      <c r="G101" s="5">
        <v>1</v>
      </c>
      <c r="H101" s="6" t="s">
        <v>6</v>
      </c>
      <c r="I101" s="5">
        <v>0</v>
      </c>
      <c r="J101" s="7">
        <v>13920000</v>
      </c>
      <c r="K101" s="7">
        <f>+(J101/F101)*(13-E101)</f>
        <v>139200000</v>
      </c>
      <c r="L101" s="5">
        <v>0</v>
      </c>
      <c r="M101" s="5">
        <v>0</v>
      </c>
      <c r="N101" s="18" t="s">
        <v>26</v>
      </c>
      <c r="O101" s="5" t="s">
        <v>3</v>
      </c>
      <c r="P101" s="6" t="s">
        <v>77</v>
      </c>
      <c r="Q101" s="6" t="s">
        <v>78</v>
      </c>
      <c r="R101" s="55" t="s">
        <v>79</v>
      </c>
    </row>
    <row r="102" spans="2:18" ht="25.5" x14ac:dyDescent="0.2">
      <c r="B102" s="3" t="s">
        <v>247</v>
      </c>
      <c r="C102" s="20" t="s">
        <v>248</v>
      </c>
      <c r="D102" s="5">
        <v>5</v>
      </c>
      <c r="E102" s="5">
        <v>6</v>
      </c>
      <c r="F102" s="5">
        <v>6</v>
      </c>
      <c r="G102" s="5">
        <v>1</v>
      </c>
      <c r="H102" s="6" t="s">
        <v>6</v>
      </c>
      <c r="I102" s="5">
        <v>0</v>
      </c>
      <c r="J102" s="7">
        <f>47250000-3700000</f>
        <v>43550000</v>
      </c>
      <c r="K102" s="7">
        <f>47250000-3700000</f>
        <v>43550000</v>
      </c>
      <c r="L102" s="5">
        <v>0</v>
      </c>
      <c r="M102" s="5">
        <v>0</v>
      </c>
      <c r="N102" s="18" t="s">
        <v>26</v>
      </c>
      <c r="O102" s="5" t="s">
        <v>3</v>
      </c>
      <c r="P102" s="10" t="s">
        <v>94</v>
      </c>
      <c r="Q102" s="5">
        <v>3204948379</v>
      </c>
      <c r="R102" s="52" t="s">
        <v>249</v>
      </c>
    </row>
    <row r="103" spans="2:18" ht="25.5" x14ac:dyDescent="0.2">
      <c r="B103" s="3" t="s">
        <v>247</v>
      </c>
      <c r="C103" s="20" t="s">
        <v>250</v>
      </c>
      <c r="D103" s="5">
        <v>5</v>
      </c>
      <c r="E103" s="5">
        <v>6</v>
      </c>
      <c r="F103" s="5">
        <v>6</v>
      </c>
      <c r="G103" s="5">
        <v>1</v>
      </c>
      <c r="H103" s="6" t="s">
        <v>6</v>
      </c>
      <c r="I103" s="5">
        <v>0</v>
      </c>
      <c r="J103" s="7">
        <v>30450000</v>
      </c>
      <c r="K103" s="7">
        <v>30450000</v>
      </c>
      <c r="L103" s="5">
        <v>0</v>
      </c>
      <c r="M103" s="5">
        <v>0</v>
      </c>
      <c r="N103" s="18" t="s">
        <v>26</v>
      </c>
      <c r="O103" s="5" t="s">
        <v>3</v>
      </c>
      <c r="P103" s="10" t="s">
        <v>94</v>
      </c>
      <c r="Q103" s="5">
        <v>3204948379</v>
      </c>
      <c r="R103" s="52" t="s">
        <v>249</v>
      </c>
    </row>
    <row r="104" spans="2:18" ht="38.25" x14ac:dyDescent="0.2">
      <c r="B104" s="3" t="s">
        <v>251</v>
      </c>
      <c r="C104" s="20" t="s">
        <v>252</v>
      </c>
      <c r="D104" s="5">
        <v>2</v>
      </c>
      <c r="E104" s="5">
        <v>3</v>
      </c>
      <c r="F104" s="5">
        <v>4</v>
      </c>
      <c r="G104" s="5">
        <v>1</v>
      </c>
      <c r="H104" s="6" t="s">
        <v>6</v>
      </c>
      <c r="I104" s="5">
        <v>0</v>
      </c>
      <c r="J104" s="7">
        <v>7000000</v>
      </c>
      <c r="K104" s="7">
        <v>7000000</v>
      </c>
      <c r="L104" s="5">
        <v>0</v>
      </c>
      <c r="M104" s="5">
        <v>0</v>
      </c>
      <c r="N104" s="18" t="s">
        <v>26</v>
      </c>
      <c r="O104" s="5" t="s">
        <v>3</v>
      </c>
      <c r="P104" s="10" t="s">
        <v>94</v>
      </c>
      <c r="Q104" s="5">
        <v>3204948379</v>
      </c>
      <c r="R104" s="52" t="s">
        <v>249</v>
      </c>
    </row>
    <row r="105" spans="2:18" ht="38.25" x14ac:dyDescent="0.2">
      <c r="B105" s="3" t="s">
        <v>253</v>
      </c>
      <c r="C105" s="20" t="s">
        <v>254</v>
      </c>
      <c r="D105" s="5">
        <v>5</v>
      </c>
      <c r="E105" s="5">
        <v>6</v>
      </c>
      <c r="F105" s="5">
        <v>1</v>
      </c>
      <c r="G105" s="5">
        <v>1</v>
      </c>
      <c r="H105" s="6" t="s">
        <v>6</v>
      </c>
      <c r="I105" s="5">
        <v>0</v>
      </c>
      <c r="J105" s="7">
        <v>40000000</v>
      </c>
      <c r="K105" s="7">
        <v>40000000</v>
      </c>
      <c r="L105" s="5">
        <v>0</v>
      </c>
      <c r="M105" s="5">
        <v>0</v>
      </c>
      <c r="N105" s="18" t="s">
        <v>26</v>
      </c>
      <c r="O105" s="5" t="s">
        <v>3</v>
      </c>
      <c r="P105" s="10" t="s">
        <v>94</v>
      </c>
      <c r="Q105" s="5">
        <v>3204948379</v>
      </c>
      <c r="R105" s="52" t="s">
        <v>249</v>
      </c>
    </row>
    <row r="106" spans="2:18" ht="38.25" x14ac:dyDescent="0.2">
      <c r="B106" s="3" t="s">
        <v>255</v>
      </c>
      <c r="C106" s="20" t="s">
        <v>256</v>
      </c>
      <c r="D106" s="5">
        <v>5</v>
      </c>
      <c r="E106" s="5">
        <v>6</v>
      </c>
      <c r="F106" s="5">
        <v>1</v>
      </c>
      <c r="G106" s="5">
        <v>1</v>
      </c>
      <c r="H106" s="6" t="s">
        <v>6</v>
      </c>
      <c r="I106" s="5">
        <v>0</v>
      </c>
      <c r="J106" s="7">
        <v>15000000</v>
      </c>
      <c r="K106" s="7">
        <v>15000000</v>
      </c>
      <c r="L106" s="5">
        <v>0</v>
      </c>
      <c r="M106" s="5">
        <v>0</v>
      </c>
      <c r="N106" s="18" t="s">
        <v>26</v>
      </c>
      <c r="O106" s="5" t="s">
        <v>3</v>
      </c>
      <c r="P106" s="10" t="s">
        <v>94</v>
      </c>
      <c r="Q106" s="5">
        <v>3204948379</v>
      </c>
      <c r="R106" s="52" t="s">
        <v>249</v>
      </c>
    </row>
    <row r="107" spans="2:18" ht="38.25" x14ac:dyDescent="0.2">
      <c r="B107" s="3" t="s">
        <v>257</v>
      </c>
      <c r="C107" s="20" t="s">
        <v>258</v>
      </c>
      <c r="D107" s="5">
        <v>2</v>
      </c>
      <c r="E107" s="5">
        <v>3</v>
      </c>
      <c r="F107" s="5">
        <v>2</v>
      </c>
      <c r="G107" s="5">
        <v>1</v>
      </c>
      <c r="H107" s="6" t="s">
        <v>6</v>
      </c>
      <c r="I107" s="5">
        <v>0</v>
      </c>
      <c r="J107" s="7">
        <v>30000000</v>
      </c>
      <c r="K107" s="7">
        <v>30000000</v>
      </c>
      <c r="L107" s="5">
        <v>0</v>
      </c>
      <c r="M107" s="5">
        <v>0</v>
      </c>
      <c r="N107" s="18" t="s">
        <v>26</v>
      </c>
      <c r="O107" s="5" t="s">
        <v>3</v>
      </c>
      <c r="P107" s="10" t="s">
        <v>94</v>
      </c>
      <c r="Q107" s="5">
        <v>3204948379</v>
      </c>
      <c r="R107" s="52" t="s">
        <v>249</v>
      </c>
    </row>
    <row r="108" spans="2:18" ht="63.75" x14ac:dyDescent="0.2">
      <c r="B108" s="3" t="s">
        <v>259</v>
      </c>
      <c r="C108" s="20" t="s">
        <v>260</v>
      </c>
      <c r="D108" s="5">
        <v>5</v>
      </c>
      <c r="E108" s="5">
        <v>6</v>
      </c>
      <c r="F108" s="5">
        <v>3</v>
      </c>
      <c r="G108" s="5">
        <v>1</v>
      </c>
      <c r="H108" s="6" t="s">
        <v>6</v>
      </c>
      <c r="I108" s="5">
        <v>0</v>
      </c>
      <c r="J108" s="7">
        <v>30000000</v>
      </c>
      <c r="K108" s="7">
        <v>30000000</v>
      </c>
      <c r="L108" s="5">
        <v>0</v>
      </c>
      <c r="M108" s="5">
        <v>0</v>
      </c>
      <c r="N108" s="18" t="s">
        <v>26</v>
      </c>
      <c r="O108" s="5" t="s">
        <v>3</v>
      </c>
      <c r="P108" s="10" t="s">
        <v>94</v>
      </c>
      <c r="Q108" s="5">
        <v>3204948379</v>
      </c>
      <c r="R108" s="52" t="s">
        <v>249</v>
      </c>
    </row>
    <row r="109" spans="2:18" ht="25.5" x14ac:dyDescent="0.2">
      <c r="B109" s="3" t="s">
        <v>261</v>
      </c>
      <c r="C109" s="20" t="s">
        <v>262</v>
      </c>
      <c r="D109" s="5">
        <v>3</v>
      </c>
      <c r="E109" s="5">
        <v>4</v>
      </c>
      <c r="F109" s="5">
        <v>3</v>
      </c>
      <c r="G109" s="5">
        <v>1</v>
      </c>
      <c r="H109" s="6" t="s">
        <v>6</v>
      </c>
      <c r="I109" s="5">
        <v>0</v>
      </c>
      <c r="J109" s="7">
        <f>17775000*3</f>
        <v>53325000</v>
      </c>
      <c r="K109" s="7">
        <f>+(J109/F109)*(13-E109)</f>
        <v>159975000</v>
      </c>
      <c r="L109" s="5">
        <v>0</v>
      </c>
      <c r="M109" s="5">
        <v>0</v>
      </c>
      <c r="N109" s="18" t="s">
        <v>26</v>
      </c>
      <c r="O109" s="5" t="s">
        <v>3</v>
      </c>
      <c r="P109" s="10" t="s">
        <v>94</v>
      </c>
      <c r="Q109" s="5">
        <v>3204948379</v>
      </c>
      <c r="R109" s="52" t="s">
        <v>249</v>
      </c>
    </row>
    <row r="110" spans="2:18" ht="25.5" x14ac:dyDescent="0.2">
      <c r="B110" s="3" t="s">
        <v>263</v>
      </c>
      <c r="C110" s="20" t="s">
        <v>264</v>
      </c>
      <c r="D110" s="5">
        <v>5</v>
      </c>
      <c r="E110" s="5">
        <v>6</v>
      </c>
      <c r="F110" s="5">
        <v>7</v>
      </c>
      <c r="G110" s="5">
        <v>1</v>
      </c>
      <c r="H110" s="6" t="s">
        <v>6</v>
      </c>
      <c r="I110" s="5">
        <v>0</v>
      </c>
      <c r="J110" s="7">
        <v>210000000</v>
      </c>
      <c r="K110" s="7">
        <v>210000000</v>
      </c>
      <c r="L110" s="5">
        <v>0</v>
      </c>
      <c r="M110" s="5">
        <v>0</v>
      </c>
      <c r="N110" s="18" t="s">
        <v>26</v>
      </c>
      <c r="O110" s="5" t="s">
        <v>3</v>
      </c>
      <c r="P110" s="10" t="s">
        <v>94</v>
      </c>
      <c r="Q110" s="5">
        <v>3204948379</v>
      </c>
      <c r="R110" s="52" t="s">
        <v>249</v>
      </c>
    </row>
    <row r="111" spans="2:18" ht="25.5" x14ac:dyDescent="0.2">
      <c r="B111" s="22" t="s">
        <v>265</v>
      </c>
      <c r="C111" s="20" t="s">
        <v>266</v>
      </c>
      <c r="D111" s="23">
        <v>2</v>
      </c>
      <c r="E111" s="10">
        <v>3</v>
      </c>
      <c r="F111" s="23">
        <v>4</v>
      </c>
      <c r="G111" s="6" t="s">
        <v>9</v>
      </c>
      <c r="H111" s="6" t="s">
        <v>6</v>
      </c>
      <c r="I111" s="6" t="s">
        <v>8</v>
      </c>
      <c r="J111" s="7">
        <v>18400000</v>
      </c>
      <c r="K111" s="7">
        <f t="shared" ref="K111:K116" si="5">+(J111/F111)*(13-E111)</f>
        <v>46000000</v>
      </c>
      <c r="L111" s="6" t="s">
        <v>8</v>
      </c>
      <c r="M111" s="6" t="s">
        <v>8</v>
      </c>
      <c r="N111" s="6" t="s">
        <v>26</v>
      </c>
      <c r="O111" s="6" t="s">
        <v>3</v>
      </c>
      <c r="P111" s="23" t="s">
        <v>27</v>
      </c>
      <c r="Q111" s="23">
        <v>3132428948</v>
      </c>
      <c r="R111" s="53" t="s">
        <v>28</v>
      </c>
    </row>
    <row r="112" spans="2:18" ht="25.5" x14ac:dyDescent="0.2">
      <c r="B112" s="22" t="s">
        <v>267</v>
      </c>
      <c r="C112" s="20" t="s">
        <v>268</v>
      </c>
      <c r="D112" s="23">
        <v>4</v>
      </c>
      <c r="E112" s="10">
        <v>5</v>
      </c>
      <c r="F112" s="5">
        <v>4</v>
      </c>
      <c r="G112" s="6" t="s">
        <v>9</v>
      </c>
      <c r="H112" s="6" t="s">
        <v>6</v>
      </c>
      <c r="I112" s="6" t="s">
        <v>8</v>
      </c>
      <c r="J112" s="7">
        <f>505000000*4</f>
        <v>2020000000</v>
      </c>
      <c r="K112" s="7">
        <f t="shared" si="5"/>
        <v>4040000000</v>
      </c>
      <c r="L112" s="6" t="s">
        <v>8</v>
      </c>
      <c r="M112" s="6" t="s">
        <v>8</v>
      </c>
      <c r="N112" s="6" t="s">
        <v>26</v>
      </c>
      <c r="O112" s="6" t="s">
        <v>3</v>
      </c>
      <c r="P112" s="23" t="s">
        <v>27</v>
      </c>
      <c r="Q112" s="23">
        <v>3132428948</v>
      </c>
      <c r="R112" s="53" t="s">
        <v>28</v>
      </c>
    </row>
    <row r="113" spans="2:18" ht="25.5" x14ac:dyDescent="0.2">
      <c r="B113" s="66" t="s">
        <v>269</v>
      </c>
      <c r="C113" s="20" t="s">
        <v>270</v>
      </c>
      <c r="D113" s="23">
        <v>11</v>
      </c>
      <c r="E113" s="10">
        <v>12</v>
      </c>
      <c r="F113" s="5">
        <v>2</v>
      </c>
      <c r="G113" s="6" t="s">
        <v>9</v>
      </c>
      <c r="H113" s="6" t="s">
        <v>6</v>
      </c>
      <c r="I113" s="6" t="s">
        <v>8</v>
      </c>
      <c r="J113" s="7">
        <v>12000000</v>
      </c>
      <c r="K113" s="7">
        <f t="shared" si="5"/>
        <v>6000000</v>
      </c>
      <c r="L113" s="6" t="s">
        <v>8</v>
      </c>
      <c r="M113" s="6" t="s">
        <v>8</v>
      </c>
      <c r="N113" s="6" t="s">
        <v>26</v>
      </c>
      <c r="O113" s="6" t="s">
        <v>3</v>
      </c>
      <c r="P113" s="23" t="s">
        <v>27</v>
      </c>
      <c r="Q113" s="23">
        <v>3132428948</v>
      </c>
      <c r="R113" s="53" t="s">
        <v>28</v>
      </c>
    </row>
    <row r="114" spans="2:18" ht="25.5" x14ac:dyDescent="0.2">
      <c r="B114" s="22" t="s">
        <v>271</v>
      </c>
      <c r="C114" s="20" t="s">
        <v>272</v>
      </c>
      <c r="D114" s="23">
        <v>4</v>
      </c>
      <c r="E114" s="10">
        <v>5</v>
      </c>
      <c r="F114" s="23">
        <v>4</v>
      </c>
      <c r="G114" s="6" t="s">
        <v>9</v>
      </c>
      <c r="H114" s="6" t="s">
        <v>6</v>
      </c>
      <c r="I114" s="6" t="s">
        <v>8</v>
      </c>
      <c r="J114" s="7">
        <f>150000000*F114</f>
        <v>600000000</v>
      </c>
      <c r="K114" s="7">
        <f t="shared" si="5"/>
        <v>1200000000</v>
      </c>
      <c r="L114" s="6" t="s">
        <v>8</v>
      </c>
      <c r="M114" s="6" t="s">
        <v>8</v>
      </c>
      <c r="N114" s="6" t="s">
        <v>26</v>
      </c>
      <c r="O114" s="6" t="s">
        <v>3</v>
      </c>
      <c r="P114" s="23" t="s">
        <v>27</v>
      </c>
      <c r="Q114" s="23">
        <v>3132428948</v>
      </c>
      <c r="R114" s="53" t="s">
        <v>28</v>
      </c>
    </row>
    <row r="115" spans="2:18" ht="25.5" x14ac:dyDescent="0.2">
      <c r="B115" s="22" t="s">
        <v>269</v>
      </c>
      <c r="C115" s="20" t="s">
        <v>273</v>
      </c>
      <c r="D115" s="10">
        <v>11</v>
      </c>
      <c r="E115" s="10">
        <v>12</v>
      </c>
      <c r="F115" s="10">
        <v>2</v>
      </c>
      <c r="G115" s="6" t="s">
        <v>9</v>
      </c>
      <c r="H115" s="6" t="s">
        <v>6</v>
      </c>
      <c r="I115" s="6" t="s">
        <v>8</v>
      </c>
      <c r="J115" s="7">
        <v>12000000</v>
      </c>
      <c r="K115" s="7">
        <f t="shared" si="5"/>
        <v>6000000</v>
      </c>
      <c r="L115" s="6" t="s">
        <v>8</v>
      </c>
      <c r="M115" s="6" t="s">
        <v>8</v>
      </c>
      <c r="N115" s="6" t="s">
        <v>26</v>
      </c>
      <c r="O115" s="6" t="s">
        <v>3</v>
      </c>
      <c r="P115" s="23" t="s">
        <v>27</v>
      </c>
      <c r="Q115" s="23">
        <v>3132428948</v>
      </c>
      <c r="R115" s="53" t="s">
        <v>28</v>
      </c>
    </row>
    <row r="116" spans="2:18" ht="25.5" x14ac:dyDescent="0.2">
      <c r="B116" s="22" t="s">
        <v>274</v>
      </c>
      <c r="C116" s="20" t="s">
        <v>275</v>
      </c>
      <c r="D116" s="10">
        <v>4</v>
      </c>
      <c r="E116" s="10">
        <v>5</v>
      </c>
      <c r="F116" s="10">
        <v>4</v>
      </c>
      <c r="G116" s="6" t="s">
        <v>9</v>
      </c>
      <c r="H116" s="6" t="s">
        <v>6</v>
      </c>
      <c r="I116" s="6" t="s">
        <v>8</v>
      </c>
      <c r="J116" s="7">
        <f>150000000*F116</f>
        <v>600000000</v>
      </c>
      <c r="K116" s="7">
        <f t="shared" si="5"/>
        <v>1200000000</v>
      </c>
      <c r="L116" s="6" t="s">
        <v>8</v>
      </c>
      <c r="M116" s="6" t="s">
        <v>8</v>
      </c>
      <c r="N116" s="6" t="s">
        <v>26</v>
      </c>
      <c r="O116" s="6" t="s">
        <v>3</v>
      </c>
      <c r="P116" s="23" t="s">
        <v>27</v>
      </c>
      <c r="Q116" s="23">
        <v>3132428948</v>
      </c>
      <c r="R116" s="53" t="s">
        <v>28</v>
      </c>
    </row>
    <row r="117" spans="2:18" ht="38.25" x14ac:dyDescent="0.2">
      <c r="B117" s="22" t="s">
        <v>276</v>
      </c>
      <c r="C117" s="20" t="s">
        <v>277</v>
      </c>
      <c r="D117" s="10">
        <v>4</v>
      </c>
      <c r="E117" s="10">
        <v>5</v>
      </c>
      <c r="F117" s="10">
        <v>12</v>
      </c>
      <c r="G117" s="6" t="s">
        <v>9</v>
      </c>
      <c r="H117" s="6" t="s">
        <v>6</v>
      </c>
      <c r="I117" s="6" t="s">
        <v>8</v>
      </c>
      <c r="J117" s="7">
        <v>10000000</v>
      </c>
      <c r="K117" s="7">
        <v>10000000</v>
      </c>
      <c r="L117" s="6" t="s">
        <v>8</v>
      </c>
      <c r="M117" s="6" t="s">
        <v>8</v>
      </c>
      <c r="N117" s="6" t="s">
        <v>26</v>
      </c>
      <c r="O117" s="6" t="s">
        <v>3</v>
      </c>
      <c r="P117" s="23" t="s">
        <v>27</v>
      </c>
      <c r="Q117" s="23">
        <v>3132428948</v>
      </c>
      <c r="R117" s="53" t="s">
        <v>28</v>
      </c>
    </row>
    <row r="118" spans="2:18" ht="25.5" x14ac:dyDescent="0.2">
      <c r="B118" s="22" t="s">
        <v>278</v>
      </c>
      <c r="C118" s="20" t="s">
        <v>279</v>
      </c>
      <c r="D118" s="10">
        <v>3</v>
      </c>
      <c r="E118" s="10">
        <v>4</v>
      </c>
      <c r="F118" s="10">
        <v>12</v>
      </c>
      <c r="G118" s="6" t="s">
        <v>9</v>
      </c>
      <c r="H118" s="6" t="s">
        <v>6</v>
      </c>
      <c r="I118" s="6" t="s">
        <v>8</v>
      </c>
      <c r="J118" s="7">
        <v>14000000</v>
      </c>
      <c r="K118" s="7">
        <v>14000000</v>
      </c>
      <c r="L118" s="6" t="s">
        <v>8</v>
      </c>
      <c r="M118" s="6" t="s">
        <v>8</v>
      </c>
      <c r="N118" s="6" t="s">
        <v>26</v>
      </c>
      <c r="O118" s="6" t="s">
        <v>3</v>
      </c>
      <c r="P118" s="23" t="s">
        <v>27</v>
      </c>
      <c r="Q118" s="23">
        <v>3132428948</v>
      </c>
      <c r="R118" s="53" t="s">
        <v>28</v>
      </c>
    </row>
    <row r="119" spans="2:18" ht="51" x14ac:dyDescent="0.2">
      <c r="B119" s="22" t="s">
        <v>280</v>
      </c>
      <c r="C119" s="20" t="s">
        <v>281</v>
      </c>
      <c r="D119" s="10">
        <v>2</v>
      </c>
      <c r="E119" s="10">
        <v>2</v>
      </c>
      <c r="F119" s="10">
        <v>4</v>
      </c>
      <c r="G119" s="6" t="s">
        <v>9</v>
      </c>
      <c r="H119" s="6" t="s">
        <v>6</v>
      </c>
      <c r="I119" s="6" t="s">
        <v>8</v>
      </c>
      <c r="J119" s="7">
        <f>900000000*4</f>
        <v>3600000000</v>
      </c>
      <c r="K119" s="7">
        <f t="shared" ref="K119:K127" si="6">+(J119/F119)*(13-E119)</f>
        <v>9900000000</v>
      </c>
      <c r="L119" s="6" t="s">
        <v>8</v>
      </c>
      <c r="M119" s="6" t="s">
        <v>8</v>
      </c>
      <c r="N119" s="6" t="s">
        <v>26</v>
      </c>
      <c r="O119" s="6" t="s">
        <v>3</v>
      </c>
      <c r="P119" s="23" t="s">
        <v>27</v>
      </c>
      <c r="Q119" s="23">
        <v>3132428948</v>
      </c>
      <c r="R119" s="53" t="s">
        <v>28</v>
      </c>
    </row>
    <row r="120" spans="2:18" ht="25.5" x14ac:dyDescent="0.2">
      <c r="B120" s="22" t="s">
        <v>282</v>
      </c>
      <c r="C120" s="20" t="s">
        <v>283</v>
      </c>
      <c r="D120" s="10">
        <v>2</v>
      </c>
      <c r="E120" s="10">
        <v>3</v>
      </c>
      <c r="F120" s="10">
        <v>4</v>
      </c>
      <c r="G120" s="6" t="s">
        <v>9</v>
      </c>
      <c r="H120" s="6" t="s">
        <v>6</v>
      </c>
      <c r="I120" s="6" t="s">
        <v>8</v>
      </c>
      <c r="J120" s="7">
        <f>100000000*4</f>
        <v>400000000</v>
      </c>
      <c r="K120" s="7">
        <f t="shared" si="6"/>
        <v>1000000000</v>
      </c>
      <c r="L120" s="6" t="s">
        <v>8</v>
      </c>
      <c r="M120" s="6" t="s">
        <v>8</v>
      </c>
      <c r="N120" s="6" t="s">
        <v>26</v>
      </c>
      <c r="O120" s="6" t="s">
        <v>3</v>
      </c>
      <c r="P120" s="23" t="s">
        <v>27</v>
      </c>
      <c r="Q120" s="23">
        <v>3132428948</v>
      </c>
      <c r="R120" s="53" t="s">
        <v>28</v>
      </c>
    </row>
    <row r="121" spans="2:18" ht="38.25" x14ac:dyDescent="0.2">
      <c r="B121" s="22" t="s">
        <v>284</v>
      </c>
      <c r="C121" s="20" t="s">
        <v>285</v>
      </c>
      <c r="D121" s="10">
        <v>2</v>
      </c>
      <c r="E121" s="10">
        <v>3</v>
      </c>
      <c r="F121" s="10">
        <v>4</v>
      </c>
      <c r="G121" s="6" t="s">
        <v>9</v>
      </c>
      <c r="H121" s="6" t="s">
        <v>6</v>
      </c>
      <c r="I121" s="6" t="s">
        <v>8</v>
      </c>
      <c r="J121" s="7">
        <v>36000000</v>
      </c>
      <c r="K121" s="7">
        <f t="shared" si="6"/>
        <v>90000000</v>
      </c>
      <c r="L121" s="6" t="s">
        <v>8</v>
      </c>
      <c r="M121" s="6" t="s">
        <v>8</v>
      </c>
      <c r="N121" s="6" t="s">
        <v>26</v>
      </c>
      <c r="O121" s="6" t="s">
        <v>3</v>
      </c>
      <c r="P121" s="23" t="s">
        <v>27</v>
      </c>
      <c r="Q121" s="23">
        <v>3132428948</v>
      </c>
      <c r="R121" s="53" t="s">
        <v>28</v>
      </c>
    </row>
    <row r="122" spans="2:18" ht="38.25" x14ac:dyDescent="0.2">
      <c r="B122" s="22" t="s">
        <v>286</v>
      </c>
      <c r="C122" s="20" t="s">
        <v>287</v>
      </c>
      <c r="D122" s="10">
        <v>2</v>
      </c>
      <c r="E122" s="10">
        <v>3</v>
      </c>
      <c r="F122" s="10">
        <v>4</v>
      </c>
      <c r="G122" s="6" t="s">
        <v>9</v>
      </c>
      <c r="H122" s="6" t="s">
        <v>6</v>
      </c>
      <c r="I122" s="6" t="s">
        <v>8</v>
      </c>
      <c r="J122" s="7">
        <f>50000000*F122</f>
        <v>200000000</v>
      </c>
      <c r="K122" s="7">
        <f t="shared" si="6"/>
        <v>500000000</v>
      </c>
      <c r="L122" s="6" t="s">
        <v>8</v>
      </c>
      <c r="M122" s="6" t="s">
        <v>8</v>
      </c>
      <c r="N122" s="6" t="s">
        <v>26</v>
      </c>
      <c r="O122" s="6" t="s">
        <v>3</v>
      </c>
      <c r="P122" s="23" t="s">
        <v>27</v>
      </c>
      <c r="Q122" s="23">
        <v>3132428948</v>
      </c>
      <c r="R122" s="53" t="s">
        <v>28</v>
      </c>
    </row>
    <row r="123" spans="2:18" ht="25.5" x14ac:dyDescent="0.2">
      <c r="B123" s="22" t="s">
        <v>288</v>
      </c>
      <c r="C123" s="20" t="s">
        <v>289</v>
      </c>
      <c r="D123" s="10">
        <v>3</v>
      </c>
      <c r="E123" s="10">
        <v>4</v>
      </c>
      <c r="F123" s="10">
        <v>4</v>
      </c>
      <c r="G123" s="6" t="s">
        <v>9</v>
      </c>
      <c r="H123" s="6" t="s">
        <v>6</v>
      </c>
      <c r="I123" s="6" t="s">
        <v>8</v>
      </c>
      <c r="J123" s="7">
        <f>60000000*F123</f>
        <v>240000000</v>
      </c>
      <c r="K123" s="7">
        <f t="shared" si="6"/>
        <v>540000000</v>
      </c>
      <c r="L123" s="6" t="s">
        <v>8</v>
      </c>
      <c r="M123" s="6" t="s">
        <v>8</v>
      </c>
      <c r="N123" s="6" t="s">
        <v>26</v>
      </c>
      <c r="O123" s="6" t="s">
        <v>3</v>
      </c>
      <c r="P123" s="23" t="s">
        <v>27</v>
      </c>
      <c r="Q123" s="23">
        <v>3132428948</v>
      </c>
      <c r="R123" s="53" t="s">
        <v>28</v>
      </c>
    </row>
    <row r="124" spans="2:18" ht="25.5" x14ac:dyDescent="0.2">
      <c r="B124" s="22" t="s">
        <v>290</v>
      </c>
      <c r="C124" s="20" t="s">
        <v>291</v>
      </c>
      <c r="D124" s="10">
        <v>11</v>
      </c>
      <c r="E124" s="10">
        <v>12</v>
      </c>
      <c r="F124" s="10">
        <v>2</v>
      </c>
      <c r="G124" s="6" t="s">
        <v>9</v>
      </c>
      <c r="H124" s="6" t="s">
        <v>6</v>
      </c>
      <c r="I124" s="6" t="s">
        <v>8</v>
      </c>
      <c r="J124" s="7">
        <f>12000000*F124</f>
        <v>24000000</v>
      </c>
      <c r="K124" s="7">
        <f t="shared" si="6"/>
        <v>12000000</v>
      </c>
      <c r="L124" s="6" t="s">
        <v>8</v>
      </c>
      <c r="M124" s="6" t="s">
        <v>8</v>
      </c>
      <c r="N124" s="6" t="s">
        <v>26</v>
      </c>
      <c r="O124" s="6" t="s">
        <v>3</v>
      </c>
      <c r="P124" s="23" t="s">
        <v>27</v>
      </c>
      <c r="Q124" s="23">
        <v>3132428948</v>
      </c>
      <c r="R124" s="53" t="s">
        <v>28</v>
      </c>
    </row>
    <row r="125" spans="2:18" ht="25.5" x14ac:dyDescent="0.2">
      <c r="B125" s="67" t="s">
        <v>22</v>
      </c>
      <c r="C125" s="20" t="s">
        <v>23</v>
      </c>
      <c r="D125" s="23">
        <v>1</v>
      </c>
      <c r="E125" s="10">
        <v>2</v>
      </c>
      <c r="F125" s="23">
        <v>4</v>
      </c>
      <c r="G125" s="6" t="s">
        <v>9</v>
      </c>
      <c r="H125" s="6" t="s">
        <v>6</v>
      </c>
      <c r="I125" s="6" t="s">
        <v>8</v>
      </c>
      <c r="J125" s="7">
        <v>2600000000</v>
      </c>
      <c r="K125" s="7">
        <f t="shared" si="6"/>
        <v>7150000000</v>
      </c>
      <c r="L125" s="6" t="s">
        <v>8</v>
      </c>
      <c r="M125" s="6" t="s">
        <v>8</v>
      </c>
      <c r="N125" s="6" t="s">
        <v>26</v>
      </c>
      <c r="O125" s="6" t="s">
        <v>3</v>
      </c>
      <c r="P125" s="23" t="s">
        <v>27</v>
      </c>
      <c r="Q125" s="23">
        <v>3132428948</v>
      </c>
      <c r="R125" s="53" t="s">
        <v>28</v>
      </c>
    </row>
    <row r="126" spans="2:18" ht="38.25" x14ac:dyDescent="0.2">
      <c r="B126" s="22" t="s">
        <v>292</v>
      </c>
      <c r="C126" s="20" t="s">
        <v>293</v>
      </c>
      <c r="D126" s="24" t="s">
        <v>62</v>
      </c>
      <c r="E126" s="24" t="s">
        <v>69</v>
      </c>
      <c r="F126" s="6" t="s">
        <v>25</v>
      </c>
      <c r="G126" s="6" t="s">
        <v>9</v>
      </c>
      <c r="H126" s="6" t="s">
        <v>6</v>
      </c>
      <c r="I126" s="6" t="s">
        <v>8</v>
      </c>
      <c r="J126" s="7">
        <f>30000000*F126</f>
        <v>120000000</v>
      </c>
      <c r="K126" s="7">
        <f t="shared" si="6"/>
        <v>210000000</v>
      </c>
      <c r="L126" s="6" t="s">
        <v>8</v>
      </c>
      <c r="M126" s="6" t="s">
        <v>8</v>
      </c>
      <c r="N126" s="6" t="s">
        <v>26</v>
      </c>
      <c r="O126" s="6" t="s">
        <v>3</v>
      </c>
      <c r="P126" s="23" t="s">
        <v>27</v>
      </c>
      <c r="Q126" s="6" t="s">
        <v>294</v>
      </c>
      <c r="R126" s="56" t="s">
        <v>28</v>
      </c>
    </row>
    <row r="127" spans="2:18" ht="25.5" x14ac:dyDescent="0.2">
      <c r="B127" s="68" t="s">
        <v>267</v>
      </c>
      <c r="C127" s="20" t="s">
        <v>295</v>
      </c>
      <c r="D127" s="25">
        <v>3</v>
      </c>
      <c r="E127" s="25">
        <v>4</v>
      </c>
      <c r="F127" s="25">
        <v>4</v>
      </c>
      <c r="G127" s="25">
        <v>1</v>
      </c>
      <c r="H127" s="6" t="s">
        <v>6</v>
      </c>
      <c r="I127" s="25">
        <v>0</v>
      </c>
      <c r="J127" s="7">
        <f>25000000*F127</f>
        <v>100000000</v>
      </c>
      <c r="K127" s="7">
        <f t="shared" si="6"/>
        <v>225000000</v>
      </c>
      <c r="L127" s="25">
        <v>0</v>
      </c>
      <c r="M127" s="25">
        <v>0</v>
      </c>
      <c r="N127" s="6" t="s">
        <v>26</v>
      </c>
      <c r="O127" s="6" t="s">
        <v>3</v>
      </c>
      <c r="P127" s="23" t="s">
        <v>27</v>
      </c>
      <c r="Q127" s="6" t="s">
        <v>294</v>
      </c>
      <c r="R127" s="56" t="s">
        <v>28</v>
      </c>
    </row>
    <row r="128" spans="2:18" ht="25.5" x14ac:dyDescent="0.2">
      <c r="B128" s="69" t="s">
        <v>296</v>
      </c>
      <c r="C128" s="20" t="s">
        <v>297</v>
      </c>
      <c r="D128" s="25">
        <v>5</v>
      </c>
      <c r="E128" s="25">
        <v>6</v>
      </c>
      <c r="F128" s="25">
        <v>12</v>
      </c>
      <c r="G128" s="25">
        <v>1</v>
      </c>
      <c r="H128" s="6" t="s">
        <v>6</v>
      </c>
      <c r="I128" s="25">
        <v>0</v>
      </c>
      <c r="J128" s="7">
        <v>20000000</v>
      </c>
      <c r="K128" s="7">
        <v>20000000</v>
      </c>
      <c r="L128" s="25">
        <v>0</v>
      </c>
      <c r="M128" s="25">
        <v>0</v>
      </c>
      <c r="N128" s="6" t="s">
        <v>26</v>
      </c>
      <c r="O128" s="6" t="s">
        <v>3</v>
      </c>
      <c r="P128" s="23" t="s">
        <v>27</v>
      </c>
      <c r="Q128" s="6" t="s">
        <v>294</v>
      </c>
      <c r="R128" s="56" t="s">
        <v>28</v>
      </c>
    </row>
    <row r="129" spans="2:18" ht="25.5" x14ac:dyDescent="0.2">
      <c r="B129" s="68" t="s">
        <v>298</v>
      </c>
      <c r="C129" s="20" t="s">
        <v>299</v>
      </c>
      <c r="D129" s="26">
        <v>2</v>
      </c>
      <c r="E129" s="26">
        <v>3</v>
      </c>
      <c r="F129" s="27">
        <v>12</v>
      </c>
      <c r="G129" s="28">
        <v>1</v>
      </c>
      <c r="H129" s="6" t="s">
        <v>6</v>
      </c>
      <c r="I129" s="25">
        <v>0</v>
      </c>
      <c r="J129" s="7">
        <v>7800000</v>
      </c>
      <c r="K129" s="7">
        <v>7800000</v>
      </c>
      <c r="L129" s="25">
        <v>0</v>
      </c>
      <c r="M129" s="25">
        <v>0</v>
      </c>
      <c r="N129" s="6" t="s">
        <v>26</v>
      </c>
      <c r="O129" s="6" t="s">
        <v>3</v>
      </c>
      <c r="P129" s="23" t="s">
        <v>27</v>
      </c>
      <c r="Q129" s="6" t="s">
        <v>294</v>
      </c>
      <c r="R129" s="56" t="s">
        <v>28</v>
      </c>
    </row>
    <row r="130" spans="2:18" ht="51" x14ac:dyDescent="0.2">
      <c r="B130" s="68" t="s">
        <v>300</v>
      </c>
      <c r="C130" s="20" t="s">
        <v>301</v>
      </c>
      <c r="D130" s="26">
        <v>5</v>
      </c>
      <c r="E130" s="26">
        <v>6</v>
      </c>
      <c r="F130" s="27">
        <v>4</v>
      </c>
      <c r="G130" s="28">
        <v>1</v>
      </c>
      <c r="H130" s="6" t="s">
        <v>6</v>
      </c>
      <c r="I130" s="25">
        <v>0</v>
      </c>
      <c r="J130" s="7">
        <f>220000000*F130</f>
        <v>880000000</v>
      </c>
      <c r="K130" s="7">
        <f>+(J130/F130)*(13-E130)</f>
        <v>1540000000</v>
      </c>
      <c r="L130" s="25">
        <v>0</v>
      </c>
      <c r="M130" s="25">
        <v>0</v>
      </c>
      <c r="N130" s="6" t="s">
        <v>26</v>
      </c>
      <c r="O130" s="6" t="s">
        <v>3</v>
      </c>
      <c r="P130" s="23" t="s">
        <v>27</v>
      </c>
      <c r="Q130" s="6" t="s">
        <v>294</v>
      </c>
      <c r="R130" s="56" t="s">
        <v>28</v>
      </c>
    </row>
    <row r="131" spans="2:18" ht="51" x14ac:dyDescent="0.2">
      <c r="B131" s="68" t="s">
        <v>302</v>
      </c>
      <c r="C131" s="20" t="s">
        <v>303</v>
      </c>
      <c r="D131" s="26">
        <v>2</v>
      </c>
      <c r="E131" s="26">
        <v>3</v>
      </c>
      <c r="F131" s="27">
        <v>3</v>
      </c>
      <c r="G131" s="28">
        <v>1</v>
      </c>
      <c r="H131" s="6" t="s">
        <v>6</v>
      </c>
      <c r="I131" s="25">
        <v>0</v>
      </c>
      <c r="J131" s="7">
        <f>200000000*F131</f>
        <v>600000000</v>
      </c>
      <c r="K131" s="7">
        <f>+(J131/F131)*(13-E131)</f>
        <v>2000000000</v>
      </c>
      <c r="L131" s="25">
        <v>0</v>
      </c>
      <c r="M131" s="25">
        <v>0</v>
      </c>
      <c r="N131" s="6" t="s">
        <v>26</v>
      </c>
      <c r="O131" s="6" t="s">
        <v>3</v>
      </c>
      <c r="P131" s="23" t="s">
        <v>27</v>
      </c>
      <c r="Q131" s="6" t="s">
        <v>294</v>
      </c>
      <c r="R131" s="56" t="s">
        <v>28</v>
      </c>
    </row>
    <row r="132" spans="2:18" ht="38.25" x14ac:dyDescent="0.2">
      <c r="B132" s="70" t="s">
        <v>304</v>
      </c>
      <c r="C132" s="20" t="s">
        <v>305</v>
      </c>
      <c r="D132" s="29" t="s">
        <v>62</v>
      </c>
      <c r="E132" s="29" t="s">
        <v>69</v>
      </c>
      <c r="F132" s="17" t="s">
        <v>188</v>
      </c>
      <c r="G132" s="17" t="s">
        <v>9</v>
      </c>
      <c r="H132" s="17" t="s">
        <v>6</v>
      </c>
      <c r="I132" s="17" t="s">
        <v>8</v>
      </c>
      <c r="J132" s="7">
        <v>12000000</v>
      </c>
      <c r="K132" s="7">
        <v>12000000</v>
      </c>
      <c r="L132" s="17" t="s">
        <v>8</v>
      </c>
      <c r="M132" s="17" t="s">
        <v>8</v>
      </c>
      <c r="N132" s="17" t="s">
        <v>26</v>
      </c>
      <c r="O132" s="17" t="s">
        <v>3</v>
      </c>
      <c r="P132" s="17" t="s">
        <v>306</v>
      </c>
      <c r="Q132" s="17" t="s">
        <v>307</v>
      </c>
      <c r="R132" s="57" t="s">
        <v>308</v>
      </c>
    </row>
    <row r="133" spans="2:18" ht="63.75" x14ac:dyDescent="0.2">
      <c r="B133" s="70" t="s">
        <v>309</v>
      </c>
      <c r="C133" s="20" t="s">
        <v>310</v>
      </c>
      <c r="D133" s="17">
        <v>8</v>
      </c>
      <c r="E133" s="17">
        <v>9</v>
      </c>
      <c r="F133" s="17" t="s">
        <v>188</v>
      </c>
      <c r="G133" s="17" t="s">
        <v>9</v>
      </c>
      <c r="H133" s="17" t="s">
        <v>6</v>
      </c>
      <c r="I133" s="17" t="s">
        <v>8</v>
      </c>
      <c r="J133" s="7">
        <v>500000000</v>
      </c>
      <c r="K133" s="7">
        <v>500000000</v>
      </c>
      <c r="L133" s="17" t="s">
        <v>8</v>
      </c>
      <c r="M133" s="17" t="s">
        <v>8</v>
      </c>
      <c r="N133" s="17" t="s">
        <v>26</v>
      </c>
      <c r="O133" s="17" t="s">
        <v>3</v>
      </c>
      <c r="P133" s="17" t="s">
        <v>41</v>
      </c>
      <c r="Q133" s="17" t="s">
        <v>42</v>
      </c>
      <c r="R133" s="58" t="s">
        <v>43</v>
      </c>
    </row>
    <row r="134" spans="2:18" ht="63.75" x14ac:dyDescent="0.2">
      <c r="B134" s="70" t="s">
        <v>311</v>
      </c>
      <c r="C134" s="20" t="s">
        <v>312</v>
      </c>
      <c r="D134" s="17" t="s">
        <v>24</v>
      </c>
      <c r="E134" s="17" t="s">
        <v>34</v>
      </c>
      <c r="F134" s="17" t="s">
        <v>24</v>
      </c>
      <c r="G134" s="17" t="s">
        <v>9</v>
      </c>
      <c r="H134" s="17" t="s">
        <v>6</v>
      </c>
      <c r="I134" s="17" t="s">
        <v>8</v>
      </c>
      <c r="J134" s="7">
        <v>13500000</v>
      </c>
      <c r="K134" s="7">
        <v>54000000</v>
      </c>
      <c r="L134" s="17" t="s">
        <v>8</v>
      </c>
      <c r="M134" s="17" t="s">
        <v>8</v>
      </c>
      <c r="N134" s="17" t="s">
        <v>26</v>
      </c>
      <c r="O134" s="17" t="s">
        <v>3</v>
      </c>
      <c r="P134" s="17" t="s">
        <v>41</v>
      </c>
      <c r="Q134" s="17" t="s">
        <v>42</v>
      </c>
      <c r="R134" s="58" t="s">
        <v>43</v>
      </c>
    </row>
    <row r="135" spans="2:18" ht="38.25" x14ac:dyDescent="0.2">
      <c r="B135" s="70" t="s">
        <v>313</v>
      </c>
      <c r="C135" s="20" t="s">
        <v>314</v>
      </c>
      <c r="D135" s="17" t="s">
        <v>34</v>
      </c>
      <c r="E135" s="17" t="s">
        <v>25</v>
      </c>
      <c r="F135" s="17" t="s">
        <v>188</v>
      </c>
      <c r="G135" s="17" t="s">
        <v>9</v>
      </c>
      <c r="H135" s="17" t="s">
        <v>6</v>
      </c>
      <c r="I135" s="17" t="s">
        <v>8</v>
      </c>
      <c r="J135" s="7">
        <v>83000000</v>
      </c>
      <c r="K135" s="7">
        <v>83000000</v>
      </c>
      <c r="L135" s="17" t="s">
        <v>8</v>
      </c>
      <c r="M135" s="17" t="s">
        <v>8</v>
      </c>
      <c r="N135" s="17" t="s">
        <v>26</v>
      </c>
      <c r="O135" s="17" t="s">
        <v>3</v>
      </c>
      <c r="P135" s="17" t="s">
        <v>41</v>
      </c>
      <c r="Q135" s="17" t="s">
        <v>42</v>
      </c>
      <c r="R135" s="58" t="s">
        <v>43</v>
      </c>
    </row>
    <row r="136" spans="2:18" ht="51" x14ac:dyDescent="0.2">
      <c r="B136" s="70" t="s">
        <v>315</v>
      </c>
      <c r="C136" s="20" t="s">
        <v>316</v>
      </c>
      <c r="D136" s="17" t="s">
        <v>34</v>
      </c>
      <c r="E136" s="17" t="s">
        <v>25</v>
      </c>
      <c r="F136" s="17" t="s">
        <v>34</v>
      </c>
      <c r="G136" s="17" t="s">
        <v>9</v>
      </c>
      <c r="H136" s="17" t="s">
        <v>6</v>
      </c>
      <c r="I136" s="17" t="s">
        <v>8</v>
      </c>
      <c r="J136" s="7">
        <v>405000000</v>
      </c>
      <c r="K136" s="7">
        <f>+(J136/F136)*(13-E136)</f>
        <v>1215000000</v>
      </c>
      <c r="L136" s="17" t="s">
        <v>8</v>
      </c>
      <c r="M136" s="17" t="s">
        <v>8</v>
      </c>
      <c r="N136" s="17" t="s">
        <v>26</v>
      </c>
      <c r="O136" s="17" t="s">
        <v>3</v>
      </c>
      <c r="P136" s="17" t="s">
        <v>41</v>
      </c>
      <c r="Q136" s="17" t="s">
        <v>42</v>
      </c>
      <c r="R136" s="58" t="s">
        <v>43</v>
      </c>
    </row>
    <row r="137" spans="2:18" ht="51" x14ac:dyDescent="0.2">
      <c r="B137" s="70" t="s">
        <v>317</v>
      </c>
      <c r="C137" s="20" t="s">
        <v>318</v>
      </c>
      <c r="D137" s="17" t="s">
        <v>69</v>
      </c>
      <c r="E137" s="17" t="s">
        <v>203</v>
      </c>
      <c r="F137" s="17" t="s">
        <v>9</v>
      </c>
      <c r="G137" s="17" t="s">
        <v>9</v>
      </c>
      <c r="H137" s="17" t="s">
        <v>6</v>
      </c>
      <c r="I137" s="17" t="s">
        <v>8</v>
      </c>
      <c r="J137" s="7">
        <v>14000000</v>
      </c>
      <c r="K137" s="7">
        <v>14000000</v>
      </c>
      <c r="L137" s="17" t="s">
        <v>8</v>
      </c>
      <c r="M137" s="17" t="s">
        <v>8</v>
      </c>
      <c r="N137" s="17" t="s">
        <v>26</v>
      </c>
      <c r="O137" s="17" t="s">
        <v>3</v>
      </c>
      <c r="P137" s="17" t="s">
        <v>41</v>
      </c>
      <c r="Q137" s="17" t="s">
        <v>42</v>
      </c>
      <c r="R137" s="58" t="s">
        <v>43</v>
      </c>
    </row>
    <row r="138" spans="2:18" ht="63.75" x14ac:dyDescent="0.2">
      <c r="B138" s="70" t="s">
        <v>82</v>
      </c>
      <c r="C138" s="20" t="s">
        <v>83</v>
      </c>
      <c r="D138" s="17" t="s">
        <v>9</v>
      </c>
      <c r="E138" s="17" t="s">
        <v>24</v>
      </c>
      <c r="F138" s="17" t="s">
        <v>34</v>
      </c>
      <c r="G138" s="17" t="s">
        <v>9</v>
      </c>
      <c r="H138" s="17" t="s">
        <v>6</v>
      </c>
      <c r="I138" s="17" t="s">
        <v>8</v>
      </c>
      <c r="J138" s="7">
        <v>3625000</v>
      </c>
      <c r="K138" s="7">
        <f>+(J138/F138)*(13-E138)</f>
        <v>13291666.666666666</v>
      </c>
      <c r="L138" s="17" t="s">
        <v>8</v>
      </c>
      <c r="M138" s="17" t="s">
        <v>8</v>
      </c>
      <c r="N138" s="17" t="s">
        <v>26</v>
      </c>
      <c r="O138" s="17" t="s">
        <v>3</v>
      </c>
      <c r="P138" s="17" t="s">
        <v>41</v>
      </c>
      <c r="Q138" s="17" t="s">
        <v>42</v>
      </c>
      <c r="R138" s="58" t="s">
        <v>43</v>
      </c>
    </row>
    <row r="139" spans="2:18" ht="38.25" x14ac:dyDescent="0.2">
      <c r="B139" s="70" t="s">
        <v>39</v>
      </c>
      <c r="C139" s="20" t="s">
        <v>40</v>
      </c>
      <c r="D139" s="17" t="s">
        <v>9</v>
      </c>
      <c r="E139" s="17" t="s">
        <v>24</v>
      </c>
      <c r="F139" s="17" t="s">
        <v>34</v>
      </c>
      <c r="G139" s="17" t="s">
        <v>9</v>
      </c>
      <c r="H139" s="17" t="s">
        <v>6</v>
      </c>
      <c r="I139" s="17" t="s">
        <v>8</v>
      </c>
      <c r="J139" s="7">
        <v>11501400</v>
      </c>
      <c r="K139" s="7">
        <f>+(J139/F139)*(13-E139)</f>
        <v>42171800</v>
      </c>
      <c r="L139" s="17" t="s">
        <v>8</v>
      </c>
      <c r="M139" s="17" t="s">
        <v>8</v>
      </c>
      <c r="N139" s="17" t="s">
        <v>26</v>
      </c>
      <c r="O139" s="17" t="s">
        <v>3</v>
      </c>
      <c r="P139" s="17" t="s">
        <v>41</v>
      </c>
      <c r="Q139" s="17" t="s">
        <v>42</v>
      </c>
      <c r="R139" s="58" t="s">
        <v>43</v>
      </c>
    </row>
    <row r="140" spans="2:18" ht="38.25" x14ac:dyDescent="0.2">
      <c r="B140" s="70" t="s">
        <v>319</v>
      </c>
      <c r="C140" s="20" t="s">
        <v>320</v>
      </c>
      <c r="D140" s="17" t="s">
        <v>24</v>
      </c>
      <c r="E140" s="17" t="s">
        <v>34</v>
      </c>
      <c r="F140" s="17" t="s">
        <v>24</v>
      </c>
      <c r="G140" s="17" t="s">
        <v>9</v>
      </c>
      <c r="H140" s="17" t="s">
        <v>6</v>
      </c>
      <c r="I140" s="17" t="s">
        <v>8</v>
      </c>
      <c r="J140" s="7">
        <v>5000000</v>
      </c>
      <c r="K140" s="7">
        <f>+(J140/F140)*(13-E140)</f>
        <v>25000000</v>
      </c>
      <c r="L140" s="17" t="s">
        <v>8</v>
      </c>
      <c r="M140" s="17" t="s">
        <v>8</v>
      </c>
      <c r="N140" s="17" t="s">
        <v>26</v>
      </c>
      <c r="O140" s="17" t="s">
        <v>3</v>
      </c>
      <c r="P140" s="17" t="s">
        <v>41</v>
      </c>
      <c r="Q140" s="17" t="s">
        <v>42</v>
      </c>
      <c r="R140" s="58" t="s">
        <v>43</v>
      </c>
    </row>
    <row r="141" spans="2:18" ht="38.25" x14ac:dyDescent="0.2">
      <c r="B141" s="70" t="s">
        <v>319</v>
      </c>
      <c r="C141" s="20" t="s">
        <v>321</v>
      </c>
      <c r="D141" s="17" t="s">
        <v>24</v>
      </c>
      <c r="E141" s="17" t="s">
        <v>34</v>
      </c>
      <c r="F141" s="17" t="s">
        <v>34</v>
      </c>
      <c r="G141" s="17" t="s">
        <v>9</v>
      </c>
      <c r="H141" s="17" t="s">
        <v>6</v>
      </c>
      <c r="I141" s="17" t="s">
        <v>8</v>
      </c>
      <c r="J141" s="7">
        <v>5000000</v>
      </c>
      <c r="K141" s="7">
        <f>+(J141/F141)*(13-E141)</f>
        <v>16666666.666666668</v>
      </c>
      <c r="L141" s="17" t="s">
        <v>8</v>
      </c>
      <c r="M141" s="17" t="s">
        <v>8</v>
      </c>
      <c r="N141" s="17" t="s">
        <v>26</v>
      </c>
      <c r="O141" s="17" t="s">
        <v>3</v>
      </c>
      <c r="P141" s="17" t="s">
        <v>41</v>
      </c>
      <c r="Q141" s="17" t="s">
        <v>42</v>
      </c>
      <c r="R141" s="58" t="s">
        <v>43</v>
      </c>
    </row>
    <row r="142" spans="2:18" ht="38.25" x14ac:dyDescent="0.2">
      <c r="B142" s="70" t="s">
        <v>80</v>
      </c>
      <c r="C142" s="20" t="s">
        <v>81</v>
      </c>
      <c r="D142" s="17" t="s">
        <v>9</v>
      </c>
      <c r="E142" s="17" t="s">
        <v>9</v>
      </c>
      <c r="F142" s="17" t="s">
        <v>25</v>
      </c>
      <c r="G142" s="17" t="s">
        <v>9</v>
      </c>
      <c r="H142" s="17" t="s">
        <v>6</v>
      </c>
      <c r="I142" s="17" t="s">
        <v>8</v>
      </c>
      <c r="J142" s="7">
        <v>306666667</v>
      </c>
      <c r="K142" s="7">
        <f>+(J142/F142)*(13-E142)</f>
        <v>920000001</v>
      </c>
      <c r="L142" s="17" t="s">
        <v>8</v>
      </c>
      <c r="M142" s="17" t="s">
        <v>8</v>
      </c>
      <c r="N142" s="17" t="s">
        <v>26</v>
      </c>
      <c r="O142" s="17" t="s">
        <v>3</v>
      </c>
      <c r="P142" s="17" t="s">
        <v>41</v>
      </c>
      <c r="Q142" s="17" t="s">
        <v>42</v>
      </c>
      <c r="R142" s="58" t="s">
        <v>43</v>
      </c>
    </row>
    <row r="143" spans="2:18" ht="25.5" x14ac:dyDescent="0.2">
      <c r="B143" s="71" t="s">
        <v>322</v>
      </c>
      <c r="C143" s="30" t="s">
        <v>84</v>
      </c>
      <c r="D143" s="17" t="s">
        <v>9</v>
      </c>
      <c r="E143" s="17" t="s">
        <v>9</v>
      </c>
      <c r="F143" s="17" t="s">
        <v>69</v>
      </c>
      <c r="G143" s="17" t="s">
        <v>9</v>
      </c>
      <c r="H143" s="17" t="s">
        <v>6</v>
      </c>
      <c r="I143" s="17" t="s">
        <v>8</v>
      </c>
      <c r="J143" s="8">
        <v>512500000</v>
      </c>
      <c r="K143" s="8">
        <v>512500000</v>
      </c>
      <c r="L143" s="17" t="s">
        <v>8</v>
      </c>
      <c r="M143" s="17" t="s">
        <v>8</v>
      </c>
      <c r="N143" s="17" t="s">
        <v>26</v>
      </c>
      <c r="O143" s="17" t="s">
        <v>3</v>
      </c>
      <c r="P143" s="17" t="s">
        <v>85</v>
      </c>
      <c r="Q143" s="31">
        <v>3012832313</v>
      </c>
      <c r="R143" s="59" t="s">
        <v>86</v>
      </c>
    </row>
    <row r="144" spans="2:18" ht="25.5" x14ac:dyDescent="0.2">
      <c r="B144" s="70" t="s">
        <v>323</v>
      </c>
      <c r="C144" s="20" t="s">
        <v>87</v>
      </c>
      <c r="D144" s="6" t="s">
        <v>9</v>
      </c>
      <c r="E144" s="6" t="s">
        <v>9</v>
      </c>
      <c r="F144" s="6" t="s">
        <v>69</v>
      </c>
      <c r="G144" s="6" t="s">
        <v>9</v>
      </c>
      <c r="H144" s="6" t="s">
        <v>6</v>
      </c>
      <c r="I144" s="6" t="s">
        <v>8</v>
      </c>
      <c r="J144" s="7">
        <v>67632780</v>
      </c>
      <c r="K144" s="7">
        <v>67632780</v>
      </c>
      <c r="L144" s="6" t="s">
        <v>8</v>
      </c>
      <c r="M144" s="6" t="s">
        <v>8</v>
      </c>
      <c r="N144" s="6" t="s">
        <v>26</v>
      </c>
      <c r="O144" s="6" t="s">
        <v>3</v>
      </c>
      <c r="P144" s="6" t="s">
        <v>85</v>
      </c>
      <c r="Q144" s="5">
        <v>3012832313</v>
      </c>
      <c r="R144" s="60" t="s">
        <v>86</v>
      </c>
    </row>
    <row r="145" spans="2:18" ht="25.5" x14ac:dyDescent="0.2">
      <c r="B145" s="72" t="s">
        <v>324</v>
      </c>
      <c r="C145" s="30" t="s">
        <v>325</v>
      </c>
      <c r="D145" s="6">
        <v>1</v>
      </c>
      <c r="E145" s="6">
        <v>1</v>
      </c>
      <c r="F145" s="24" t="s">
        <v>62</v>
      </c>
      <c r="G145" s="6" t="s">
        <v>9</v>
      </c>
      <c r="H145" s="6" t="s">
        <v>6</v>
      </c>
      <c r="I145" s="6" t="s">
        <v>8</v>
      </c>
      <c r="J145" s="7">
        <f>858811465*5</f>
        <v>4294057325</v>
      </c>
      <c r="K145" s="7">
        <f>+(J145/F145)*(13-E145)</f>
        <v>10305737580</v>
      </c>
      <c r="L145" s="6" t="s">
        <v>8</v>
      </c>
      <c r="M145" s="6" t="s">
        <v>8</v>
      </c>
      <c r="N145" s="6" t="s">
        <v>26</v>
      </c>
      <c r="O145" s="6" t="s">
        <v>3</v>
      </c>
      <c r="P145" s="6" t="s">
        <v>326</v>
      </c>
      <c r="Q145" s="5">
        <v>3219006466</v>
      </c>
      <c r="R145" s="32" t="s">
        <v>327</v>
      </c>
    </row>
    <row r="146" spans="2:18" ht="25.5" x14ac:dyDescent="0.2">
      <c r="B146" s="67" t="s">
        <v>324</v>
      </c>
      <c r="C146" s="20" t="s">
        <v>328</v>
      </c>
      <c r="D146" s="6" t="s">
        <v>9</v>
      </c>
      <c r="E146" s="6" t="s">
        <v>9</v>
      </c>
      <c r="F146" s="24" t="s">
        <v>62</v>
      </c>
      <c r="G146" s="6" t="s">
        <v>9</v>
      </c>
      <c r="H146" s="6" t="s">
        <v>6</v>
      </c>
      <c r="I146" s="6" t="s">
        <v>8</v>
      </c>
      <c r="J146" s="7">
        <f>1348677786*5</f>
        <v>6743388930</v>
      </c>
      <c r="K146" s="7">
        <f>+(J146/F146)*(13-E146)</f>
        <v>16184133432</v>
      </c>
      <c r="L146" s="6" t="s">
        <v>8</v>
      </c>
      <c r="M146" s="6" t="s">
        <v>8</v>
      </c>
      <c r="N146" s="6" t="s">
        <v>26</v>
      </c>
      <c r="O146" s="6" t="s">
        <v>3</v>
      </c>
      <c r="P146" s="6" t="s">
        <v>326</v>
      </c>
      <c r="Q146" s="5">
        <v>3219006466</v>
      </c>
      <c r="R146" s="32" t="s">
        <v>327</v>
      </c>
    </row>
    <row r="147" spans="2:18" ht="25.5" x14ac:dyDescent="0.2">
      <c r="B147" s="67" t="s">
        <v>324</v>
      </c>
      <c r="C147" s="20" t="s">
        <v>329</v>
      </c>
      <c r="D147" s="6" t="s">
        <v>9</v>
      </c>
      <c r="E147" s="6" t="s">
        <v>9</v>
      </c>
      <c r="F147" s="24" t="s">
        <v>62</v>
      </c>
      <c r="G147" s="6" t="s">
        <v>9</v>
      </c>
      <c r="H147" s="6" t="s">
        <v>6</v>
      </c>
      <c r="I147" s="6" t="s">
        <v>8</v>
      </c>
      <c r="J147" s="7">
        <f>10003945937*5</f>
        <v>50019729685</v>
      </c>
      <c r="K147" s="7">
        <f>+(J147/F147)*(13-E147)</f>
        <v>120047351244</v>
      </c>
      <c r="L147" s="6" t="s">
        <v>8</v>
      </c>
      <c r="M147" s="6" t="s">
        <v>8</v>
      </c>
      <c r="N147" s="6" t="s">
        <v>26</v>
      </c>
      <c r="O147" s="6" t="s">
        <v>3</v>
      </c>
      <c r="P147" s="6" t="s">
        <v>330</v>
      </c>
      <c r="Q147" s="5">
        <v>3219006466</v>
      </c>
      <c r="R147" s="32" t="s">
        <v>327</v>
      </c>
    </row>
    <row r="148" spans="2:18" ht="26.25" thickBot="1" x14ac:dyDescent="0.25">
      <c r="B148" s="73" t="s">
        <v>324</v>
      </c>
      <c r="C148" s="33" t="s">
        <v>331</v>
      </c>
      <c r="D148" s="34" t="s">
        <v>9</v>
      </c>
      <c r="E148" s="34" t="s">
        <v>9</v>
      </c>
      <c r="F148" s="35" t="s">
        <v>62</v>
      </c>
      <c r="G148" s="34" t="s">
        <v>9</v>
      </c>
      <c r="H148" s="34" t="s">
        <v>6</v>
      </c>
      <c r="I148" s="34" t="s">
        <v>8</v>
      </c>
      <c r="J148" s="36">
        <f>2381361183*5</f>
        <v>11906805915</v>
      </c>
      <c r="K148" s="36">
        <f>+(J148/F148)*(13-E148)</f>
        <v>28576334196</v>
      </c>
      <c r="L148" s="34" t="s">
        <v>8</v>
      </c>
      <c r="M148" s="34" t="s">
        <v>8</v>
      </c>
      <c r="N148" s="34" t="s">
        <v>26</v>
      </c>
      <c r="O148" s="34" t="s">
        <v>3</v>
      </c>
      <c r="P148" s="34" t="s">
        <v>77</v>
      </c>
      <c r="Q148" s="34" t="s">
        <v>78</v>
      </c>
      <c r="R148" s="61" t="s">
        <v>327</v>
      </c>
    </row>
  </sheetData>
  <mergeCells count="2">
    <mergeCell ref="B3:R5"/>
    <mergeCell ref="B2:R2"/>
  </mergeCells>
  <hyperlinks>
    <hyperlink ref="R142" r:id="rId1"/>
    <hyperlink ref="R141" r:id="rId2"/>
    <hyperlink ref="R140" r:id="rId3"/>
    <hyperlink ref="R139" r:id="rId4"/>
    <hyperlink ref="R138" r:id="rId5"/>
    <hyperlink ref="R137" r:id="rId6"/>
    <hyperlink ref="R136" r:id="rId7"/>
    <hyperlink ref="R135" r:id="rId8"/>
    <hyperlink ref="R134" r:id="rId9"/>
    <hyperlink ref="R133" r:id="rId10"/>
    <hyperlink ref="R110" r:id="rId11"/>
    <hyperlink ref="R109" r:id="rId12"/>
    <hyperlink ref="R108" r:id="rId13"/>
    <hyperlink ref="R107" r:id="rId14"/>
    <hyperlink ref="R106" r:id="rId15"/>
    <hyperlink ref="R105" r:id="rId16"/>
    <hyperlink ref="R104" r:id="rId17"/>
    <hyperlink ref="R103" r:id="rId18"/>
    <hyperlink ref="R102" r:id="rId19"/>
    <hyperlink ref="R32" r:id="rId20"/>
    <hyperlink ref="R81" r:id="rId21"/>
    <hyperlink ref="R80" r:id="rId22"/>
    <hyperlink ref="R79" r:id="rId23"/>
    <hyperlink ref="R27" r:id="rId24"/>
    <hyperlink ref="R29" r:id="rId25"/>
    <hyperlink ref="R9" r:id="rId26"/>
    <hyperlink ref="R56" r:id="rId27"/>
    <hyperlink ref="R62" r:id="rId28"/>
    <hyperlink ref="R24" r:id="rId29"/>
    <hyperlink ref="R78" r:id="rId30"/>
    <hyperlink ref="R77" r:id="rId31"/>
    <hyperlink ref="R76" r:id="rId32"/>
    <hyperlink ref="R74" r:id="rId33"/>
    <hyperlink ref="R75" r:id="rId34"/>
    <hyperlink ref="R73" r:id="rId35"/>
    <hyperlink ref="R66" r:id="rId36"/>
    <hyperlink ref="R65" r:id="rId37"/>
    <hyperlink ref="R61:R70" r:id="rId38" display="biomedica@subredsur.gov.co"/>
    <hyperlink ref="R59:R60" r:id="rId39" display="biomedica@subredsur.gov.co"/>
    <hyperlink ref="R58" r:id="rId40"/>
    <hyperlink ref="R57" r:id="rId41"/>
    <hyperlink ref="R55" r:id="rId42"/>
    <hyperlink ref="R54" r:id="rId43"/>
    <hyperlink ref="R53" r:id="rId44"/>
    <hyperlink ref="R52" r:id="rId45"/>
    <hyperlink ref="R51" r:id="rId46"/>
    <hyperlink ref="R50" r:id="rId47"/>
    <hyperlink ref="R49" r:id="rId48"/>
    <hyperlink ref="R48" r:id="rId49"/>
    <hyperlink ref="R41" r:id="rId50"/>
    <hyperlink ref="R31" r:id="rId51"/>
    <hyperlink ref="R30" r:id="rId52"/>
    <hyperlink ref="R28" r:id="rId53"/>
    <hyperlink ref="R23" r:id="rId54"/>
    <hyperlink ref="R25" r:id="rId55"/>
    <hyperlink ref="R17:R19" r:id="rId56" display="recursosfisicosmeissen@subredsur.gov.co"/>
    <hyperlink ref="R15" r:id="rId57"/>
    <hyperlink ref="R14" r:id="rId58"/>
    <hyperlink ref="R13" r:id="rId59"/>
    <hyperlink ref="R12" r:id="rId60"/>
    <hyperlink ref="R22" r:id="rId61"/>
    <hyperlink ref="R21" r:id="rId62"/>
    <hyperlink ref="R20" r:id="rId63"/>
    <hyperlink ref="R19" r:id="rId64"/>
    <hyperlink ref="R11" r:id="rId65"/>
    <hyperlink ref="R40" r:id="rId66"/>
    <hyperlink ref="R39" r:id="rId67"/>
    <hyperlink ref="R38" r:id="rId68"/>
    <hyperlink ref="R26" r:id="rId69"/>
    <hyperlink ref="R37" r:id="rId70"/>
    <hyperlink ref="R33" r:id="rId71"/>
    <hyperlink ref="R10" r:id="rId72"/>
    <hyperlink ref="R8" r:id="rId73"/>
    <hyperlink ref="R7" r:id="rId74"/>
    <hyperlink ref="R34" r:id="rId75"/>
  </hyperlinks>
  <pageMargins left="0.75" right="0.75" top="1" bottom="1" header="0.5" footer="0.5"/>
  <pageSetup orientation="portrait" r:id="rId76"/>
  <ignoredErrors>
    <ignoredError sqref="J7:K7 J8:K15" unlockedFormula="1"/>
  </ignoredErrors>
  <drawing r:id="rId77"/>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dcterms:created xsi:type="dcterms:W3CDTF">2020-01-29T22:41:46Z</dcterms:created>
  <dcterms:modified xsi:type="dcterms:W3CDTF">2020-01-30T17:46:08Z</dcterms:modified>
  <cp:category/>
  <cp:contentStatus/>
</cp:coreProperties>
</file>